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 1" sheetId="1" r:id="rId1"/>
  </sheets>
  <definedNames>
    <definedName name="Excel_BuiltIn_Print_Area_1">'Лист 1'!$A$7:$J$505</definedName>
    <definedName name="Excel_BuiltIn_Print_Titles_1">#REF!</definedName>
    <definedName name="Excel_BuiltIn_Print_Titles_11">'Лист 1'!$12:$12</definedName>
    <definedName name="Excel_BuiltIn_Print_Titles_2">'Лист 1'!$12:$12</definedName>
  </definedNames>
  <calcPr fullCalcOnLoad="1" refMode="R1C1"/>
</workbook>
</file>

<file path=xl/sharedStrings.xml><?xml version="1.0" encoding="utf-8"?>
<sst xmlns="http://schemas.openxmlformats.org/spreadsheetml/2006/main" count="529" uniqueCount="213">
  <si>
    <t>Реестр</t>
  </si>
  <si>
    <t>№ п/п</t>
  </si>
  <si>
    <t>Адрес</t>
  </si>
  <si>
    <t>Год ввода</t>
  </si>
  <si>
    <t>№ мун. кв.</t>
  </si>
  <si>
    <t>Площадь квартир</t>
  </si>
  <si>
    <t>Доля</t>
  </si>
  <si>
    <t>Балансовая стоимость, руб.</t>
  </si>
  <si>
    <t>Амортизация, руб.</t>
  </si>
  <si>
    <t>Остаточная стоимость, руб.</t>
  </si>
  <si>
    <t>Примечание</t>
  </si>
  <si>
    <t>Герцена ул., д. 2</t>
  </si>
  <si>
    <t xml:space="preserve">Герцена ул., д. 2А </t>
  </si>
  <si>
    <t xml:space="preserve">Герцена ул., д. 7    </t>
  </si>
  <si>
    <t xml:space="preserve">Герцена ул., д. 9  </t>
  </si>
  <si>
    <t xml:space="preserve">Герцена ул., д. 12 </t>
  </si>
  <si>
    <t>Герцена пер., д. 6</t>
  </si>
  <si>
    <t>Залетова ул., д. 1</t>
  </si>
  <si>
    <t xml:space="preserve">Ильинская ул., д. 71  </t>
  </si>
  <si>
    <t xml:space="preserve">Ильинская ул., д. 73 </t>
  </si>
  <si>
    <t>Коммунальная ул., д. 4</t>
  </si>
  <si>
    <t>Коммунальная ул., д. 20Б</t>
  </si>
  <si>
    <t xml:space="preserve">Костенко ул., д. 3  </t>
  </si>
  <si>
    <t xml:space="preserve">Костенко ул., д. 38 </t>
  </si>
  <si>
    <t xml:space="preserve">Ленина ул., д. 154  </t>
  </si>
  <si>
    <t xml:space="preserve">Ленина ул., д. 224 </t>
  </si>
  <si>
    <t>Ленина ул., д. 226Б</t>
  </si>
  <si>
    <t xml:space="preserve">Ленина ул., д. 236 </t>
  </si>
  <si>
    <t xml:space="preserve">Ленина ул., д. 243 </t>
  </si>
  <si>
    <t xml:space="preserve">Ленина ул., д. 245 </t>
  </si>
  <si>
    <t xml:space="preserve">Ленина ул., д. 257 </t>
  </si>
  <si>
    <t>Ленина ул., д. 261</t>
  </si>
  <si>
    <t>Ленина ул., д. 267</t>
  </si>
  <si>
    <t xml:space="preserve">Ленина ул., д. 269 </t>
  </si>
  <si>
    <t xml:space="preserve">Ленина ул., д. 271 </t>
  </si>
  <si>
    <t>Ленина ул., д. 289</t>
  </si>
  <si>
    <t xml:space="preserve">Ленина ул., д. 293 </t>
  </si>
  <si>
    <t xml:space="preserve">Новая ул., д. 48 </t>
  </si>
  <si>
    <t>Островского ул., д. 33</t>
  </si>
  <si>
    <t xml:space="preserve">Светлая ул., д. 2  </t>
  </si>
  <si>
    <t xml:space="preserve">Светлая ул., д. 8 </t>
  </si>
  <si>
    <t xml:space="preserve">Слепцова ул., д. 28 </t>
  </si>
  <si>
    <t xml:space="preserve">Совхозная ул., д. 32 </t>
  </si>
  <si>
    <t>Сорокина ул., д. 3</t>
  </si>
  <si>
    <t xml:space="preserve">Сорокина ул., д. 25  </t>
  </si>
  <si>
    <t>Строительная ул., д. 9</t>
  </si>
  <si>
    <t>Строительная ул., д. 11</t>
  </si>
  <si>
    <t>Строительная ул., д. 15</t>
  </si>
  <si>
    <t>Строительный пер., д. 10</t>
  </si>
  <si>
    <t xml:space="preserve">Фрунзе ул., д. 97  </t>
  </si>
  <si>
    <t>Аптекарский пер., д. 2</t>
  </si>
  <si>
    <t>Аптекарский пер., д. 21</t>
  </si>
  <si>
    <t>Балашовская ул., д. 2Б</t>
  </si>
  <si>
    <t>Балашовская ул., д. 9</t>
  </si>
  <si>
    <t>Балашовская ул., д. 11</t>
  </si>
  <si>
    <t>Гагарина ул., д. 1</t>
  </si>
  <si>
    <t>Гагарина ул., д. 3</t>
  </si>
  <si>
    <t>Гагарина ул., д. 7</t>
  </si>
  <si>
    <t>8/1</t>
  </si>
  <si>
    <t>8/2</t>
  </si>
  <si>
    <t>Гагарина ул., д. 24</t>
  </si>
  <si>
    <t>Гагарина ул., д. 26</t>
  </si>
  <si>
    <t>Гагарина ул., д. 32</t>
  </si>
  <si>
    <t>Гоголя ул., д. 5</t>
  </si>
  <si>
    <t>Гоголя ул., д. 17</t>
  </si>
  <si>
    <t>Комсомольская ул., д. 89</t>
  </si>
  <si>
    <t>Комсомольская ул., д. 97</t>
  </si>
  <si>
    <t>Комсомольская ул., д. 98А</t>
  </si>
  <si>
    <t>Комсомольская ул., д. 102</t>
  </si>
  <si>
    <t>Комсомольская ул., д. 116</t>
  </si>
  <si>
    <t>33об</t>
  </si>
  <si>
    <t>34об</t>
  </si>
  <si>
    <t>35об</t>
  </si>
  <si>
    <t>38об</t>
  </si>
  <si>
    <t>39об</t>
  </si>
  <si>
    <t>46об</t>
  </si>
  <si>
    <t>9/2</t>
  </si>
  <si>
    <t>Комсомольская ул., д. 122</t>
  </si>
  <si>
    <t>Красная ул., д. 13</t>
  </si>
  <si>
    <t>Красная ул., д. 15</t>
  </si>
  <si>
    <t>Красная ул., д. 18</t>
  </si>
  <si>
    <t>Красная ул., д. 20</t>
  </si>
  <si>
    <t>Красная ул., д. 29</t>
  </si>
  <si>
    <t>Красная ул., д. 49</t>
  </si>
  <si>
    <t>Красная ул., д. 55</t>
  </si>
  <si>
    <t>Красноармейская ул., д. 19</t>
  </si>
  <si>
    <t>Куйбышева ул., д. 88</t>
  </si>
  <si>
    <t>Куйбышева ул., д. 109</t>
  </si>
  <si>
    <t>Ленина ул., д. 70</t>
  </si>
  <si>
    <t>Ленина ул., д. 121</t>
  </si>
  <si>
    <t>Ленинский пер., д. 9</t>
  </si>
  <si>
    <t>М. Горького ул., д. 11</t>
  </si>
  <si>
    <t>Набережная ул., д. 34</t>
  </si>
  <si>
    <t>Набережная ул., д. 55</t>
  </si>
  <si>
    <t>Ново-Северная ул., д. 2</t>
  </si>
  <si>
    <t>Пензенская ул., д. 82</t>
  </si>
  <si>
    <t>Пензенская ул., д. 100</t>
  </si>
  <si>
    <t>Первомайская ул., д. 6</t>
  </si>
  <si>
    <t>Первомайская ул., д. 45</t>
  </si>
  <si>
    <t>Пушкина ул., д. 8</t>
  </si>
  <si>
    <t>Пушкина ул., д. 80</t>
  </si>
  <si>
    <t>Пушкина ул., д. 89</t>
  </si>
  <si>
    <t>Пушкина ул., д. 91</t>
  </si>
  <si>
    <t>Саратовская ул., д. 45</t>
  </si>
  <si>
    <t>Саратовская ул., д. 89</t>
  </si>
  <si>
    <t>Циолковского ул., д. 45</t>
  </si>
  <si>
    <t>Чайковского ул., д. 97</t>
  </si>
  <si>
    <t>Чайковского ул., д. 107</t>
  </si>
  <si>
    <t>Чайковского ул., д. 127</t>
  </si>
  <si>
    <t>Яблочкова ул., д. 2Б</t>
  </si>
  <si>
    <t>Яблочкова ул., д. 44</t>
  </si>
  <si>
    <t>Белинского ул., д. 39</t>
  </si>
  <si>
    <t>Белинского ул., д. 51</t>
  </si>
  <si>
    <t>Быкова ул., д. 1</t>
  </si>
  <si>
    <t>Быкова ул., д. 4</t>
  </si>
  <si>
    <t>Быкова ул., д. 5</t>
  </si>
  <si>
    <t>Быкова ул., д. 7</t>
  </si>
  <si>
    <t>Быкова ул., д. 7А</t>
  </si>
  <si>
    <t>Быкова ул., д. 8</t>
  </si>
  <si>
    <t>Быкова ул., д. 10</t>
  </si>
  <si>
    <t>Быкова ул., д. 11</t>
  </si>
  <si>
    <t>Быкова ул., д. 12</t>
  </si>
  <si>
    <t>Быкова ул., д. 15</t>
  </si>
  <si>
    <t>Володарского ул., д. 5</t>
  </si>
  <si>
    <t>Кольцова ул., д. 13</t>
  </si>
  <si>
    <t>Котовского ул., д. 5</t>
  </si>
  <si>
    <t>Лесная ул., д. 48</t>
  </si>
  <si>
    <t>Макарова ул., д. 1</t>
  </si>
  <si>
    <t>Маяковского ул., д. 14</t>
  </si>
  <si>
    <t>Мира ул., д. 4</t>
  </si>
  <si>
    <t>Мира ул., д. 27</t>
  </si>
  <si>
    <t>Мичурина пр., д. 17</t>
  </si>
  <si>
    <t>М. Горького ул., д. 158</t>
  </si>
  <si>
    <t>М. Горького ул., д. 158А</t>
  </si>
  <si>
    <t>М. Горького ул., д. 160</t>
  </si>
  <si>
    <t>М. Горького ул., д. 162</t>
  </si>
  <si>
    <t>М. Горького ул., д. 164</t>
  </si>
  <si>
    <t>М. Горького ул., д. 166</t>
  </si>
  <si>
    <t>М. Горького ул., д. 168</t>
  </si>
  <si>
    <t>М. Горького ул., д. 170</t>
  </si>
  <si>
    <t>М. Горького ул., д. 172</t>
  </si>
  <si>
    <t>М. Горького ул., д. 229</t>
  </si>
  <si>
    <t>М. Горького ул., д. 241</t>
  </si>
  <si>
    <t>Советская ул., д. 8</t>
  </si>
  <si>
    <t>Советская ул., д. 14</t>
  </si>
  <si>
    <t>Трудовая ул., д. 7</t>
  </si>
  <si>
    <t>Трудовой пер., д. 8</t>
  </si>
  <si>
    <t>Тюрина ул., д. 3</t>
  </si>
  <si>
    <t>Тюрина ул., д. 5</t>
  </si>
  <si>
    <t>Тюрина ул., д. 13</t>
  </si>
  <si>
    <t>Шевченко ул., д. 4</t>
  </si>
  <si>
    <t>Энергетиков ул., д. 1</t>
  </si>
  <si>
    <t>Энергетиков ул., д. 3</t>
  </si>
  <si>
    <t>Энергетиков ул., д. 8</t>
  </si>
  <si>
    <t>Энергетиков ул., д. 10</t>
  </si>
  <si>
    <t>Энергетиков ул., д. 11</t>
  </si>
  <si>
    <t>Энергетиков ул., д. 11А</t>
  </si>
  <si>
    <t>Энергетиков ул., д. 13А</t>
  </si>
  <si>
    <t>17/2</t>
  </si>
  <si>
    <t>23/1</t>
  </si>
  <si>
    <t>23/2</t>
  </si>
  <si>
    <t>Энергетиков ул., д. 13В</t>
  </si>
  <si>
    <t>Ломоносова ул., д. 1А</t>
  </si>
  <si>
    <t xml:space="preserve">Мира ул., д. 32А  </t>
  </si>
  <si>
    <t>М. Горького ул., д. 245</t>
  </si>
  <si>
    <t>М. Горького ул., д. 247</t>
  </si>
  <si>
    <t>М. Горького ул., д. 249</t>
  </si>
  <si>
    <t>М. Горького ул., д. 251</t>
  </si>
  <si>
    <t>М. Горького ул., д. 255</t>
  </si>
  <si>
    <t>М. Горького ул., д. 259А</t>
  </si>
  <si>
    <t>Сережникова ул., д. 2</t>
  </si>
  <si>
    <t>Сережникова ул., д. 6</t>
  </si>
  <si>
    <t>Советская ул., д. 16</t>
  </si>
  <si>
    <t>Советская ул., д. 18</t>
  </si>
  <si>
    <t>Советская ул., д. 33</t>
  </si>
  <si>
    <t>Восточная ул., д. 40</t>
  </si>
  <si>
    <t>Ленина ул., д. 226</t>
  </si>
  <si>
    <t>Ленина ул., д. 236</t>
  </si>
  <si>
    <t xml:space="preserve">          </t>
  </si>
  <si>
    <t>Комсомольская ул., д. 118</t>
  </si>
  <si>
    <t>Итого:</t>
  </si>
  <si>
    <t>муниципального имущества (недвижимость - жилые помещения (квартиры)) города Сердобска Сердобского района</t>
  </si>
  <si>
    <t xml:space="preserve">         </t>
  </si>
  <si>
    <t>4/1</t>
  </si>
  <si>
    <t>Белинского ул., д. 31</t>
  </si>
  <si>
    <t>1 ком.6</t>
  </si>
  <si>
    <t>1 ком.8</t>
  </si>
  <si>
    <t>1 ком.11</t>
  </si>
  <si>
    <t>1 ком.12</t>
  </si>
  <si>
    <t>1 ком.14</t>
  </si>
  <si>
    <t>2 ком.8</t>
  </si>
  <si>
    <t>3 ком.1</t>
  </si>
  <si>
    <t>3 ком.8</t>
  </si>
  <si>
    <t>7 ком.1</t>
  </si>
  <si>
    <t>7 ком.2</t>
  </si>
  <si>
    <t>7 ком.3</t>
  </si>
  <si>
    <t>7 ком.8</t>
  </si>
  <si>
    <t xml:space="preserve">                              Приложение 1</t>
  </si>
  <si>
    <t xml:space="preserve">                               к решению Собрания представителей</t>
  </si>
  <si>
    <t xml:space="preserve">                                  г. Сердобска Сердобского района</t>
  </si>
  <si>
    <t xml:space="preserve">                                     Пензенской области</t>
  </si>
  <si>
    <t xml:space="preserve">Быкова ул., д. 5 </t>
  </si>
  <si>
    <t>26(ком)</t>
  </si>
  <si>
    <t>М. Горького ул., д. 25</t>
  </si>
  <si>
    <t>М. Горького ул., д. 231</t>
  </si>
  <si>
    <t>Ленина ул., д. 142</t>
  </si>
  <si>
    <t xml:space="preserve">Сережникова ул., д. 8 </t>
  </si>
  <si>
    <t>24498.49</t>
  </si>
  <si>
    <t>Строительная ул., д.11</t>
  </si>
  <si>
    <t>3 (2ком)</t>
  </si>
  <si>
    <t>Энергетиков  ул., д. 2В</t>
  </si>
  <si>
    <t xml:space="preserve">Ильинская ул., д. 16  </t>
  </si>
  <si>
    <t>Пензенской области на 2013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</si>
</sst>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00"/>
    <numFmt numFmtId="166" formatCode="0.000000"/>
    <numFmt numFmtId="167" formatCode="0.0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0"/>
      <name val="Courier New"/>
      <family val="3"/>
    </font>
    <font>
      <b/>
      <sz val="14"/>
      <name val="Courier New"/>
      <family val="3"/>
    </font>
    <font>
      <sz val="12"/>
      <name val="Courier New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1" fontId="2" fillId="0" borderId="1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 vertical="center"/>
    </xf>
    <xf numFmtId="2" fontId="2" fillId="0" borderId="10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0"/>
  <sheetViews>
    <sheetView tabSelected="1" zoomScalePageLayoutView="0" workbookViewId="0" topLeftCell="A1">
      <selection activeCell="H5" sqref="H5:J5"/>
    </sheetView>
  </sheetViews>
  <sheetFormatPr defaultColWidth="9.00390625" defaultRowHeight="12.75"/>
  <cols>
    <col min="1" max="1" width="5.125" style="1" customWidth="1"/>
    <col min="2" max="2" width="31.00390625" style="1" customWidth="1"/>
    <col min="3" max="3" width="6.625" style="1" customWidth="1"/>
    <col min="4" max="4" width="9.375" style="2" customWidth="1"/>
    <col min="5" max="5" width="9.25390625" style="2" customWidth="1"/>
    <col min="6" max="6" width="11.125" style="2" customWidth="1"/>
    <col min="7" max="7" width="13.375" style="2" customWidth="1"/>
    <col min="8" max="8" width="14.875" style="2" customWidth="1"/>
    <col min="9" max="9" width="15.875" style="2" customWidth="1"/>
    <col min="10" max="10" width="21.625" style="1" customWidth="1"/>
    <col min="11" max="16384" width="9.125" style="1" customWidth="1"/>
  </cols>
  <sheetData>
    <row r="1" spans="6:10" ht="13.5">
      <c r="F1" s="36"/>
      <c r="G1" s="36"/>
      <c r="H1" s="58" t="s">
        <v>197</v>
      </c>
      <c r="I1" s="58"/>
      <c r="J1" s="58"/>
    </row>
    <row r="2" spans="6:10" ht="13.5">
      <c r="F2" s="58" t="s">
        <v>198</v>
      </c>
      <c r="G2" s="58"/>
      <c r="H2" s="58"/>
      <c r="I2" s="58"/>
      <c r="J2" s="58"/>
    </row>
    <row r="3" spans="6:10" ht="13.5">
      <c r="F3" s="58" t="s">
        <v>199</v>
      </c>
      <c r="G3" s="58"/>
      <c r="H3" s="58"/>
      <c r="I3" s="58"/>
      <c r="J3" s="58"/>
    </row>
    <row r="4" spans="6:10" ht="13.5">
      <c r="F4" s="36"/>
      <c r="G4" s="58" t="s">
        <v>200</v>
      </c>
      <c r="H4" s="58"/>
      <c r="I4" s="58"/>
      <c r="J4" s="58"/>
    </row>
    <row r="5" spans="6:10" ht="13.5">
      <c r="F5" s="36"/>
      <c r="G5" s="36" t="s">
        <v>182</v>
      </c>
      <c r="H5" s="58"/>
      <c r="I5" s="58"/>
      <c r="J5" s="58"/>
    </row>
    <row r="7" spans="4:9" ht="19.5">
      <c r="D7" s="2" t="s">
        <v>178</v>
      </c>
      <c r="E7" s="59" t="s">
        <v>0</v>
      </c>
      <c r="F7" s="59"/>
      <c r="G7" s="59"/>
      <c r="H7" s="59"/>
      <c r="I7" s="3"/>
    </row>
    <row r="8" spans="2:10" ht="16.5" customHeight="1">
      <c r="B8" s="57" t="s">
        <v>181</v>
      </c>
      <c r="C8" s="57"/>
      <c r="D8" s="57"/>
      <c r="E8" s="57"/>
      <c r="F8" s="57"/>
      <c r="G8" s="57"/>
      <c r="H8" s="57"/>
      <c r="I8" s="57"/>
      <c r="J8" s="57"/>
    </row>
    <row r="9" spans="3:9" ht="16.5" customHeight="1">
      <c r="C9" s="57" t="s">
        <v>212</v>
      </c>
      <c r="D9" s="57"/>
      <c r="E9" s="57"/>
      <c r="F9" s="57"/>
      <c r="G9" s="57"/>
      <c r="H9" s="57"/>
      <c r="I9" s="57"/>
    </row>
    <row r="10" spans="1:9" ht="13.5">
      <c r="A10" s="4"/>
      <c r="B10" s="5"/>
      <c r="C10" s="5"/>
      <c r="D10" s="6"/>
      <c r="E10" s="7"/>
      <c r="F10" s="7"/>
      <c r="G10" s="8"/>
      <c r="H10" s="8"/>
      <c r="I10" s="8"/>
    </row>
    <row r="11" spans="1:10" s="11" customFormat="1" ht="42.75" customHeight="1">
      <c r="A11" s="46" t="s">
        <v>1</v>
      </c>
      <c r="B11" s="46" t="s">
        <v>2</v>
      </c>
      <c r="C11" s="46" t="s">
        <v>3</v>
      </c>
      <c r="D11" s="38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9" t="s">
        <v>10</v>
      </c>
    </row>
    <row r="12" spans="1:10" s="14" customFormat="1" ht="13.5" customHeight="1">
      <c r="A12" s="47">
        <v>1</v>
      </c>
      <c r="B12" s="48">
        <v>2</v>
      </c>
      <c r="C12" s="48"/>
      <c r="D12" s="39">
        <v>3</v>
      </c>
      <c r="E12" s="12">
        <v>4</v>
      </c>
      <c r="F12" s="12">
        <v>5</v>
      </c>
      <c r="G12" s="12">
        <v>6</v>
      </c>
      <c r="H12" s="12">
        <v>7</v>
      </c>
      <c r="I12" s="12">
        <v>8</v>
      </c>
      <c r="J12" s="13">
        <v>9</v>
      </c>
    </row>
    <row r="13" spans="1:10" ht="15" customHeight="1">
      <c r="A13" s="52">
        <v>1</v>
      </c>
      <c r="B13" s="30" t="s">
        <v>50</v>
      </c>
      <c r="C13" s="29">
        <v>1917</v>
      </c>
      <c r="D13" s="40">
        <v>6</v>
      </c>
      <c r="E13" s="16">
        <v>10.5</v>
      </c>
      <c r="F13" s="19">
        <f>1/234.7*E13</f>
        <v>0.044737963357477636</v>
      </c>
      <c r="G13" s="16">
        <f>125892.25/234.7*E13</f>
        <v>5632.162867490414</v>
      </c>
      <c r="H13" s="16">
        <f>125892.25/234.7*E13</f>
        <v>5632.162867490414</v>
      </c>
      <c r="I13" s="16">
        <f aca="true" t="shared" si="0" ref="I13:I23">G13-H13</f>
        <v>0</v>
      </c>
      <c r="J13" s="37"/>
    </row>
    <row r="14" spans="1:10" ht="15" customHeight="1">
      <c r="A14" s="52">
        <v>2</v>
      </c>
      <c r="B14" s="30" t="s">
        <v>51</v>
      </c>
      <c r="C14" s="29">
        <v>1901</v>
      </c>
      <c r="D14" s="40">
        <v>1</v>
      </c>
      <c r="E14" s="16">
        <v>28.2</v>
      </c>
      <c r="F14" s="19">
        <f>1/82*E14</f>
        <v>0.34390243902439027</v>
      </c>
      <c r="G14" s="16">
        <f>48890.95/82*E14</f>
        <v>16813.71695121951</v>
      </c>
      <c r="H14" s="16">
        <f>48890.95/82*E14</f>
        <v>16813.71695121951</v>
      </c>
      <c r="I14" s="16">
        <f t="shared" si="0"/>
        <v>0</v>
      </c>
      <c r="J14" s="18"/>
    </row>
    <row r="15" spans="1:10" ht="15" customHeight="1">
      <c r="A15" s="52">
        <v>3</v>
      </c>
      <c r="B15" s="30" t="s">
        <v>52</v>
      </c>
      <c r="C15" s="29">
        <v>1982</v>
      </c>
      <c r="D15" s="40">
        <v>1</v>
      </c>
      <c r="E15" s="16">
        <v>92.8</v>
      </c>
      <c r="F15" s="20">
        <v>1</v>
      </c>
      <c r="G15" s="16">
        <f>70024/92.8*E15</f>
        <v>70024</v>
      </c>
      <c r="H15" s="16">
        <f>18847.91</f>
        <v>18847.91</v>
      </c>
      <c r="I15" s="16">
        <f t="shared" si="0"/>
        <v>51176.09</v>
      </c>
      <c r="J15" s="18"/>
    </row>
    <row r="16" spans="1:10" ht="15" customHeight="1">
      <c r="A16" s="52">
        <v>4</v>
      </c>
      <c r="B16" s="30" t="s">
        <v>53</v>
      </c>
      <c r="C16" s="29">
        <v>1991</v>
      </c>
      <c r="D16" s="40">
        <v>17</v>
      </c>
      <c r="E16" s="16">
        <v>73.5</v>
      </c>
      <c r="F16" s="17">
        <v>0.009886473689874099</v>
      </c>
      <c r="G16" s="16">
        <f>9379475/7434.4*E16</f>
        <v>92729.93281233187</v>
      </c>
      <c r="H16" s="16">
        <f>1586694.58/7434.4*E16+G16*1%</f>
        <v>16614.11354715915</v>
      </c>
      <c r="I16" s="16">
        <f t="shared" si="0"/>
        <v>76115.81926517271</v>
      </c>
      <c r="J16" s="18"/>
    </row>
    <row r="17" spans="1:10" ht="15" customHeight="1">
      <c r="A17" s="52">
        <v>5</v>
      </c>
      <c r="B17" s="30" t="s">
        <v>53</v>
      </c>
      <c r="C17" s="29">
        <v>1991</v>
      </c>
      <c r="D17" s="40">
        <v>33</v>
      </c>
      <c r="E17" s="16">
        <v>74.7</v>
      </c>
      <c r="F17" s="17">
        <v>0.010047885505218982</v>
      </c>
      <c r="G17" s="16">
        <f>9379475/7434.4*E17</f>
        <v>94243.89089906382</v>
      </c>
      <c r="H17" s="16">
        <f>1586694.58/7434.4*E17+G17*1%</f>
        <v>16885.36438058216</v>
      </c>
      <c r="I17" s="16">
        <f t="shared" si="0"/>
        <v>77358.52651848165</v>
      </c>
      <c r="J17" s="18"/>
    </row>
    <row r="18" spans="1:10" ht="15" customHeight="1">
      <c r="A18" s="52">
        <v>6</v>
      </c>
      <c r="B18" s="30" t="s">
        <v>53</v>
      </c>
      <c r="C18" s="29">
        <v>1991</v>
      </c>
      <c r="D18" s="40">
        <v>72</v>
      </c>
      <c r="E18" s="16">
        <v>60.7</v>
      </c>
      <c r="F18" s="17">
        <v>0.008164747659528678</v>
      </c>
      <c r="G18" s="16">
        <f>9379475/7434.4*E18</f>
        <v>76581.04655385774</v>
      </c>
      <c r="H18" s="16">
        <f>1586694.58/7434.4*E18+G18*1%</f>
        <v>13720.771323980416</v>
      </c>
      <c r="I18" s="16">
        <f t="shared" si="0"/>
        <v>62860.27522987733</v>
      </c>
      <c r="J18" s="18"/>
    </row>
    <row r="19" spans="1:10" ht="15" customHeight="1">
      <c r="A19" s="52">
        <v>7</v>
      </c>
      <c r="B19" s="30" t="s">
        <v>54</v>
      </c>
      <c r="C19" s="29">
        <v>1994</v>
      </c>
      <c r="D19" s="40">
        <v>5</v>
      </c>
      <c r="E19" s="16">
        <v>59.5</v>
      </c>
      <c r="F19" s="17">
        <v>0.00785421520549663</v>
      </c>
      <c r="G19" s="16">
        <f>5978445/7516.45*E19</f>
        <v>47325.197067764704</v>
      </c>
      <c r="H19" s="16">
        <f>790749.41/7516.45*E19+G19*1%</f>
        <v>6732.801345049858</v>
      </c>
      <c r="I19" s="16">
        <f t="shared" si="0"/>
        <v>40592.39572271485</v>
      </c>
      <c r="J19" s="18"/>
    </row>
    <row r="20" spans="1:10" ht="15" customHeight="1">
      <c r="A20" s="52">
        <v>8</v>
      </c>
      <c r="B20" s="30" t="s">
        <v>54</v>
      </c>
      <c r="C20" s="29">
        <v>1994</v>
      </c>
      <c r="D20" s="40">
        <v>13</v>
      </c>
      <c r="E20" s="16">
        <v>60.4</v>
      </c>
      <c r="F20" s="17">
        <v>0.007973018460705823</v>
      </c>
      <c r="G20" s="16">
        <f>5978445/7516.45*E20</f>
        <v>48041.0403847561</v>
      </c>
      <c r="H20" s="16">
        <f>790749.41/7516.45*E20+G20*1%</f>
        <v>6834.642037664057</v>
      </c>
      <c r="I20" s="16">
        <f t="shared" si="0"/>
        <v>41206.39834709204</v>
      </c>
      <c r="J20" s="18"/>
    </row>
    <row r="21" spans="1:10" ht="15" customHeight="1">
      <c r="A21" s="52">
        <v>9</v>
      </c>
      <c r="B21" s="30" t="s">
        <v>54</v>
      </c>
      <c r="C21" s="29">
        <v>1994</v>
      </c>
      <c r="D21" s="40">
        <v>99</v>
      </c>
      <c r="E21" s="16">
        <v>47.3</v>
      </c>
      <c r="F21" s="17">
        <v>0.006243771079327573</v>
      </c>
      <c r="G21" s="16">
        <f>5978445/7516.45*E21</f>
        <v>37621.543215214624</v>
      </c>
      <c r="H21" s="16">
        <f>790749.41/7516.45*E21+G21*1%</f>
        <v>5352.29417850182</v>
      </c>
      <c r="I21" s="16">
        <f t="shared" si="0"/>
        <v>32269.249036712805</v>
      </c>
      <c r="J21" s="18"/>
    </row>
    <row r="22" spans="1:10" ht="15" customHeight="1">
      <c r="A22" s="52">
        <v>10</v>
      </c>
      <c r="B22" s="30" t="s">
        <v>54</v>
      </c>
      <c r="C22" s="29">
        <v>1994</v>
      </c>
      <c r="D22" s="40">
        <v>105</v>
      </c>
      <c r="E22" s="16">
        <v>59</v>
      </c>
      <c r="F22" s="17">
        <v>0.007788213397047079</v>
      </c>
      <c r="G22" s="16">
        <f>5978445/7516.45*E22</f>
        <v>46927.506336102815</v>
      </c>
      <c r="H22" s="16">
        <f>790749.41/7516.45*E22+G22*1%</f>
        <v>6676.223182486414</v>
      </c>
      <c r="I22" s="16">
        <f>G22-H22</f>
        <v>40251.2831536164</v>
      </c>
      <c r="J22" s="18"/>
    </row>
    <row r="23" spans="1:10" ht="15" customHeight="1">
      <c r="A23" s="52">
        <v>11</v>
      </c>
      <c r="B23" s="30" t="s">
        <v>54</v>
      </c>
      <c r="C23" s="29">
        <v>1994</v>
      </c>
      <c r="D23" s="41">
        <v>133</v>
      </c>
      <c r="E23" s="23">
        <v>59.5</v>
      </c>
      <c r="F23" s="24">
        <v>0.00785421520549663</v>
      </c>
      <c r="G23" s="23">
        <f>5978445/7516.45*E23</f>
        <v>47325.197067764704</v>
      </c>
      <c r="H23" s="16">
        <f>790749.41/7516.45*E23+G23*1%</f>
        <v>6732.801345049858</v>
      </c>
      <c r="I23" s="16">
        <f t="shared" si="0"/>
        <v>40592.39572271485</v>
      </c>
      <c r="J23" s="18"/>
    </row>
    <row r="24" spans="1:10" ht="15" customHeight="1">
      <c r="A24" s="52">
        <v>12</v>
      </c>
      <c r="B24" s="30" t="s">
        <v>184</v>
      </c>
      <c r="C24" s="29">
        <v>1963</v>
      </c>
      <c r="D24" s="42" t="s">
        <v>185</v>
      </c>
      <c r="E24" s="26">
        <v>14.4</v>
      </c>
      <c r="F24" s="27">
        <v>0.18</v>
      </c>
      <c r="G24" s="26">
        <v>19116.29</v>
      </c>
      <c r="H24" s="26">
        <v>573.42</v>
      </c>
      <c r="I24" s="26">
        <f>G24-H24</f>
        <v>18542.870000000003</v>
      </c>
      <c r="J24" s="35"/>
    </row>
    <row r="25" spans="1:10" ht="15" customHeight="1">
      <c r="A25" s="52">
        <v>13</v>
      </c>
      <c r="B25" s="30" t="s">
        <v>184</v>
      </c>
      <c r="C25" s="29">
        <v>1963</v>
      </c>
      <c r="D25" s="42" t="s">
        <v>186</v>
      </c>
      <c r="E25" s="26">
        <v>13</v>
      </c>
      <c r="F25" s="27">
        <v>0.016</v>
      </c>
      <c r="G25" s="26">
        <v>17257.76</v>
      </c>
      <c r="H25" s="26">
        <v>517.75</v>
      </c>
      <c r="I25" s="26">
        <f>G25-H25</f>
        <v>16740.01</v>
      </c>
      <c r="J25" s="35"/>
    </row>
    <row r="26" spans="1:10" ht="15" customHeight="1">
      <c r="A26" s="52">
        <v>14</v>
      </c>
      <c r="B26" s="30" t="s">
        <v>184</v>
      </c>
      <c r="C26" s="29">
        <v>1963</v>
      </c>
      <c r="D26" s="42" t="s">
        <v>187</v>
      </c>
      <c r="E26" s="26">
        <v>8.9</v>
      </c>
      <c r="F26" s="27">
        <v>0.011</v>
      </c>
      <c r="G26" s="26">
        <v>11814.93</v>
      </c>
      <c r="H26" s="26">
        <v>354.4</v>
      </c>
      <c r="I26" s="26">
        <f>G26-H26</f>
        <v>11460.53</v>
      </c>
      <c r="J26" s="35"/>
    </row>
    <row r="27" spans="1:10" ht="15" customHeight="1">
      <c r="A27" s="52">
        <v>15</v>
      </c>
      <c r="B27" s="30" t="s">
        <v>184</v>
      </c>
      <c r="C27" s="29">
        <v>1963</v>
      </c>
      <c r="D27" s="42" t="s">
        <v>188</v>
      </c>
      <c r="E27" s="26">
        <v>10.3</v>
      </c>
      <c r="F27" s="27">
        <v>0.013</v>
      </c>
      <c r="G27" s="26">
        <v>13673.46</v>
      </c>
      <c r="H27" s="26">
        <v>410.18</v>
      </c>
      <c r="I27" s="26">
        <f aca="true" t="shared" si="1" ref="I27:I35">G27-H27</f>
        <v>13263.279999999999</v>
      </c>
      <c r="J27" s="35"/>
    </row>
    <row r="28" spans="1:10" ht="15" customHeight="1">
      <c r="A28" s="52">
        <v>16</v>
      </c>
      <c r="B28" s="30" t="s">
        <v>184</v>
      </c>
      <c r="C28" s="29">
        <v>1963</v>
      </c>
      <c r="D28" s="42" t="s">
        <v>189</v>
      </c>
      <c r="E28" s="26">
        <v>11.9</v>
      </c>
      <c r="F28" s="27">
        <v>0.015</v>
      </c>
      <c r="G28" s="26">
        <v>15797.49</v>
      </c>
      <c r="H28" s="26">
        <v>473.85</v>
      </c>
      <c r="I28" s="26">
        <f t="shared" si="1"/>
        <v>15323.64</v>
      </c>
      <c r="J28" s="35"/>
    </row>
    <row r="29" spans="1:10" ht="15" customHeight="1">
      <c r="A29" s="52">
        <v>17</v>
      </c>
      <c r="B29" s="30" t="s">
        <v>184</v>
      </c>
      <c r="C29" s="29">
        <v>1963</v>
      </c>
      <c r="D29" s="42" t="s">
        <v>190</v>
      </c>
      <c r="E29" s="26">
        <v>10.2</v>
      </c>
      <c r="F29" s="27">
        <v>0.013</v>
      </c>
      <c r="G29" s="26">
        <v>13540.7</v>
      </c>
      <c r="H29" s="26">
        <v>406.23</v>
      </c>
      <c r="I29" s="26">
        <f t="shared" si="1"/>
        <v>13134.470000000001</v>
      </c>
      <c r="J29" s="35"/>
    </row>
    <row r="30" spans="1:10" ht="15" customHeight="1">
      <c r="A30" s="52">
        <v>18</v>
      </c>
      <c r="B30" s="30" t="s">
        <v>184</v>
      </c>
      <c r="C30" s="29">
        <v>1963</v>
      </c>
      <c r="D30" s="42" t="s">
        <v>191</v>
      </c>
      <c r="E30" s="26">
        <v>11.9</v>
      </c>
      <c r="F30" s="27">
        <v>0.015</v>
      </c>
      <c r="G30" s="26">
        <v>15797.49</v>
      </c>
      <c r="H30" s="26">
        <v>473.94</v>
      </c>
      <c r="I30" s="26">
        <f t="shared" si="1"/>
        <v>15323.55</v>
      </c>
      <c r="J30" s="35"/>
    </row>
    <row r="31" spans="1:10" ht="15" customHeight="1">
      <c r="A31" s="52">
        <v>19</v>
      </c>
      <c r="B31" s="30" t="s">
        <v>184</v>
      </c>
      <c r="C31" s="29">
        <v>1963</v>
      </c>
      <c r="D31" s="42" t="s">
        <v>192</v>
      </c>
      <c r="E31" s="26">
        <v>12.9</v>
      </c>
      <c r="F31" s="27">
        <v>0.016</v>
      </c>
      <c r="G31" s="26">
        <v>17146.72</v>
      </c>
      <c r="H31" s="26">
        <v>535.61</v>
      </c>
      <c r="I31" s="26">
        <f t="shared" si="1"/>
        <v>16611.11</v>
      </c>
      <c r="J31" s="35"/>
    </row>
    <row r="32" spans="1:10" ht="15" customHeight="1">
      <c r="A32" s="52">
        <v>20</v>
      </c>
      <c r="B32" s="30" t="s">
        <v>184</v>
      </c>
      <c r="C32" s="29">
        <v>1963</v>
      </c>
      <c r="D32" s="42" t="s">
        <v>193</v>
      </c>
      <c r="E32" s="26">
        <v>10.3</v>
      </c>
      <c r="F32" s="27">
        <v>0.013</v>
      </c>
      <c r="G32" s="26">
        <v>13673.46</v>
      </c>
      <c r="H32" s="26">
        <v>410.12</v>
      </c>
      <c r="I32" s="26">
        <f t="shared" si="1"/>
        <v>13263.339999999998</v>
      </c>
      <c r="J32" s="35"/>
    </row>
    <row r="33" spans="1:10" ht="15" customHeight="1">
      <c r="A33" s="52">
        <v>21</v>
      </c>
      <c r="B33" s="30" t="s">
        <v>184</v>
      </c>
      <c r="C33" s="29">
        <v>1963</v>
      </c>
      <c r="D33" s="42" t="s">
        <v>194</v>
      </c>
      <c r="E33" s="26">
        <v>12.3</v>
      </c>
      <c r="F33" s="27">
        <v>0.016</v>
      </c>
      <c r="G33" s="26">
        <v>16328.5</v>
      </c>
      <c r="H33" s="26">
        <v>489.77</v>
      </c>
      <c r="I33" s="26">
        <f t="shared" si="1"/>
        <v>15838.73</v>
      </c>
      <c r="J33" s="35"/>
    </row>
    <row r="34" spans="1:10" ht="15" customHeight="1">
      <c r="A34" s="52">
        <v>22</v>
      </c>
      <c r="B34" s="30" t="s">
        <v>184</v>
      </c>
      <c r="C34" s="29">
        <v>1963</v>
      </c>
      <c r="D34" s="42" t="s">
        <v>195</v>
      </c>
      <c r="E34" s="26">
        <v>10.7</v>
      </c>
      <c r="F34" s="27">
        <v>0.014</v>
      </c>
      <c r="G34" s="26">
        <v>14204.46</v>
      </c>
      <c r="H34" s="26">
        <v>426.1</v>
      </c>
      <c r="I34" s="26">
        <f t="shared" si="1"/>
        <v>13778.359999999999</v>
      </c>
      <c r="J34" s="35"/>
    </row>
    <row r="35" spans="1:10" ht="15" customHeight="1">
      <c r="A35" s="52">
        <v>23</v>
      </c>
      <c r="B35" s="30" t="s">
        <v>184</v>
      </c>
      <c r="C35" s="29">
        <v>1963</v>
      </c>
      <c r="D35" s="42" t="s">
        <v>196</v>
      </c>
      <c r="E35" s="26">
        <v>15.2</v>
      </c>
      <c r="F35" s="27">
        <v>0.019</v>
      </c>
      <c r="G35" s="26">
        <v>20178.3</v>
      </c>
      <c r="H35" s="26">
        <v>605.31</v>
      </c>
      <c r="I35" s="26">
        <f t="shared" si="1"/>
        <v>19572.989999999998</v>
      </c>
      <c r="J35" s="35"/>
    </row>
    <row r="36" spans="1:10" ht="15" customHeight="1">
      <c r="A36" s="52">
        <v>24</v>
      </c>
      <c r="B36" s="30" t="s">
        <v>111</v>
      </c>
      <c r="C36" s="29">
        <v>1960</v>
      </c>
      <c r="D36" s="43">
        <v>1</v>
      </c>
      <c r="E36" s="21">
        <v>23.7</v>
      </c>
      <c r="F36" s="22">
        <v>0.2420837589376915</v>
      </c>
      <c r="G36" s="21">
        <f>70844/97.9*E36</f>
        <v>17150.181818181816</v>
      </c>
      <c r="H36" s="21">
        <f>33946.26/97.9*E36+G36*1%</f>
        <v>8389.340040858016</v>
      </c>
      <c r="I36" s="21">
        <f>G36-H36</f>
        <v>8760.8417773238</v>
      </c>
      <c r="J36" s="18"/>
    </row>
    <row r="37" spans="1:10" ht="15" customHeight="1">
      <c r="A37" s="52">
        <v>25</v>
      </c>
      <c r="B37" s="30" t="s">
        <v>112</v>
      </c>
      <c r="C37" s="29">
        <v>1957</v>
      </c>
      <c r="D37" s="44">
        <v>4</v>
      </c>
      <c r="E37" s="16">
        <v>37.8</v>
      </c>
      <c r="F37" s="17">
        <v>0.322801024765158</v>
      </c>
      <c r="G37" s="16">
        <f>131990.71/117.1*E37</f>
        <v>42606.736447480784</v>
      </c>
      <c r="H37" s="16">
        <f>105885.22/117.1*E37+G37*1%</f>
        <v>34605.92488795901</v>
      </c>
      <c r="I37" s="16">
        <f>G37-H37</f>
        <v>8000.811559521775</v>
      </c>
      <c r="J37" s="18"/>
    </row>
    <row r="38" spans="1:10" ht="15" customHeight="1">
      <c r="A38" s="52">
        <v>26</v>
      </c>
      <c r="B38" s="30" t="s">
        <v>113</v>
      </c>
      <c r="C38" s="29">
        <v>1971</v>
      </c>
      <c r="D38" s="44">
        <v>13</v>
      </c>
      <c r="E38" s="16">
        <v>51.4</v>
      </c>
      <c r="F38" s="17">
        <f>1/5727.15*E38</f>
        <v>0.008974795491649423</v>
      </c>
      <c r="G38" s="16">
        <f>7733181.51/5727.15*E38</f>
        <v>69403.72255205468</v>
      </c>
      <c r="H38" s="16">
        <f>2236178.48/5727.15*E38+G38*1%</f>
        <v>20763.28176634801</v>
      </c>
      <c r="I38" s="16">
        <f>G38-H38</f>
        <v>48640.44078570667</v>
      </c>
      <c r="J38" s="18"/>
    </row>
    <row r="39" spans="1:10" ht="15" customHeight="1">
      <c r="A39" s="52">
        <v>27</v>
      </c>
      <c r="B39" s="30" t="s">
        <v>114</v>
      </c>
      <c r="C39" s="29">
        <v>1972</v>
      </c>
      <c r="D39" s="44">
        <v>24</v>
      </c>
      <c r="E39" s="16">
        <v>44.2</v>
      </c>
      <c r="F39" s="17">
        <v>0.013967451414125455</v>
      </c>
      <c r="G39" s="16">
        <f>2308834.71/3164.5*E39</f>
        <v>32248.536635171433</v>
      </c>
      <c r="H39" s="16">
        <f>853620.24/3164.5*E39+G39*1%</f>
        <v>12245.384594665826</v>
      </c>
      <c r="I39" s="16">
        <f>G39-H39</f>
        <v>20003.152040505607</v>
      </c>
      <c r="J39" s="18"/>
    </row>
    <row r="40" spans="1:10" ht="15" customHeight="1">
      <c r="A40" s="52">
        <v>28</v>
      </c>
      <c r="B40" s="30" t="s">
        <v>114</v>
      </c>
      <c r="C40" s="29">
        <v>1972</v>
      </c>
      <c r="D40" s="44">
        <v>37</v>
      </c>
      <c r="E40" s="16">
        <v>29.8</v>
      </c>
      <c r="F40" s="17">
        <v>0.009416969505451098</v>
      </c>
      <c r="G40" s="16">
        <f>2308834.71/3164.5*E40</f>
        <v>21742.22605719703</v>
      </c>
      <c r="H40" s="16">
        <f>853620.24/3164.5*E40+G40*1%</f>
        <v>8255.938029887819</v>
      </c>
      <c r="I40" s="16">
        <f>G40-H40</f>
        <v>13486.28802730921</v>
      </c>
      <c r="J40" s="18"/>
    </row>
    <row r="41" spans="1:10" ht="15" customHeight="1">
      <c r="A41" s="52">
        <v>29</v>
      </c>
      <c r="B41" s="30" t="s">
        <v>201</v>
      </c>
      <c r="C41" s="29">
        <v>1984</v>
      </c>
      <c r="D41" s="44" t="s">
        <v>202</v>
      </c>
      <c r="E41" s="16">
        <v>17.1</v>
      </c>
      <c r="F41" s="17">
        <v>0.0042</v>
      </c>
      <c r="G41" s="16">
        <v>42123.55</v>
      </c>
      <c r="H41" s="16">
        <v>9161.87</v>
      </c>
      <c r="I41" s="16">
        <v>32961.68</v>
      </c>
      <c r="J41" s="18"/>
    </row>
    <row r="42" spans="1:10" ht="15" customHeight="1">
      <c r="A42" s="52">
        <v>30</v>
      </c>
      <c r="B42" s="30" t="s">
        <v>115</v>
      </c>
      <c r="C42" s="29">
        <v>1984</v>
      </c>
      <c r="D42" s="44">
        <v>33</v>
      </c>
      <c r="E42" s="16">
        <v>48.8</v>
      </c>
      <c r="F42" s="17">
        <v>0.012531296141747448</v>
      </c>
      <c r="G42" s="16">
        <f>5848115.15/3894.25*E42</f>
        <v>73284.4628156898</v>
      </c>
      <c r="H42" s="16">
        <f>1340193.09/3894.25*E42+G42*1%</f>
        <v>17527.20112607049</v>
      </c>
      <c r="I42" s="16">
        <f>G42-H42</f>
        <v>55757.26168961931</v>
      </c>
      <c r="J42" s="18"/>
    </row>
    <row r="43" spans="1:10" ht="15" customHeight="1">
      <c r="A43" s="52">
        <v>31</v>
      </c>
      <c r="B43" s="30" t="s">
        <v>115</v>
      </c>
      <c r="C43" s="29">
        <v>1984</v>
      </c>
      <c r="D43" s="44">
        <v>48</v>
      </c>
      <c r="E43" s="16">
        <v>31.4</v>
      </c>
      <c r="F43" s="17">
        <v>0.008063170058419463</v>
      </c>
      <c r="G43" s="16">
        <f>5848115.15/3894.25*E43</f>
        <v>47154.34697566926</v>
      </c>
      <c r="H43" s="16">
        <f>1340193.09/3894.25*E43+G43*1%</f>
        <v>11277.748265545355</v>
      </c>
      <c r="I43" s="16">
        <f>G43-H43</f>
        <v>35876.5987101239</v>
      </c>
      <c r="J43" s="18"/>
    </row>
    <row r="44" spans="1:10" ht="15" customHeight="1">
      <c r="A44" s="52">
        <v>32</v>
      </c>
      <c r="B44" s="30" t="s">
        <v>116</v>
      </c>
      <c r="C44" s="29">
        <v>1978</v>
      </c>
      <c r="D44" s="44">
        <v>22</v>
      </c>
      <c r="E44" s="16">
        <v>63</v>
      </c>
      <c r="F44" s="17">
        <f>1/3514.7*E44</f>
        <v>0.01792471619199363</v>
      </c>
      <c r="G44" s="16">
        <f>3007899.73/3514.7*E44</f>
        <v>53915.74899422426</v>
      </c>
      <c r="H44" s="16">
        <f>893411.66/3514.7*E44+G44*1%</f>
        <v>16553.30793806015</v>
      </c>
      <c r="I44" s="16">
        <f>G44-H44</f>
        <v>37362.44105616411</v>
      </c>
      <c r="J44" s="18"/>
    </row>
    <row r="45" spans="1:10" ht="15" customHeight="1">
      <c r="A45" s="52">
        <v>33</v>
      </c>
      <c r="B45" s="30" t="s">
        <v>116</v>
      </c>
      <c r="C45" s="29">
        <v>1978</v>
      </c>
      <c r="D45" s="44">
        <v>42</v>
      </c>
      <c r="E45" s="16">
        <v>29.7</v>
      </c>
      <c r="F45" s="17">
        <f>1/3514.7*E45</f>
        <v>0.008450223347654138</v>
      </c>
      <c r="G45" s="16">
        <f>3007899.73/3514.7*E45</f>
        <v>25417.42452584858</v>
      </c>
      <c r="H45" s="16">
        <f>893411.66/3514.7*E45+G45*1%</f>
        <v>7803.702313656928</v>
      </c>
      <c r="I45" s="16">
        <f aca="true" t="shared" si="2" ref="I45:I76">G45-H45</f>
        <v>17613.72221219165</v>
      </c>
      <c r="J45" s="18"/>
    </row>
    <row r="46" spans="1:10" ht="15" customHeight="1">
      <c r="A46" s="52">
        <v>34</v>
      </c>
      <c r="B46" s="30" t="s">
        <v>117</v>
      </c>
      <c r="C46" s="29">
        <v>1987</v>
      </c>
      <c r="D46" s="44">
        <v>1</v>
      </c>
      <c r="E46" s="16">
        <v>34.3</v>
      </c>
      <c r="F46" s="17">
        <v>0.011242952668152614</v>
      </c>
      <c r="G46" s="16">
        <f>3441514.22/3050.8*E46</f>
        <v>38692.78148223416</v>
      </c>
      <c r="H46" s="16">
        <f>719850.16/3050.8*E46+G46*1%</f>
        <v>8480.169091864429</v>
      </c>
      <c r="I46" s="16">
        <f t="shared" si="2"/>
        <v>30212.61239036973</v>
      </c>
      <c r="J46" s="18"/>
    </row>
    <row r="47" spans="1:10" ht="15" customHeight="1">
      <c r="A47" s="52">
        <v>35</v>
      </c>
      <c r="B47" s="30" t="s">
        <v>118</v>
      </c>
      <c r="C47" s="29">
        <v>1980</v>
      </c>
      <c r="D47" s="44">
        <v>19</v>
      </c>
      <c r="E47" s="16">
        <v>31</v>
      </c>
      <c r="F47" s="17">
        <v>0.009842894700077473</v>
      </c>
      <c r="G47" s="16">
        <f>2741861.8/3169.88*E47</f>
        <v>26814.174605978773</v>
      </c>
      <c r="H47" s="16">
        <f>740541.62/3169.88*E47+G47*1%</f>
        <v>7510.305556677224</v>
      </c>
      <c r="I47" s="16">
        <f t="shared" si="2"/>
        <v>19303.86904930155</v>
      </c>
      <c r="J47" s="18"/>
    </row>
    <row r="48" spans="1:10" ht="15" customHeight="1">
      <c r="A48" s="52">
        <v>36</v>
      </c>
      <c r="B48" s="30" t="s">
        <v>119</v>
      </c>
      <c r="C48" s="29">
        <v>1975</v>
      </c>
      <c r="D48" s="44">
        <v>1</v>
      </c>
      <c r="E48" s="16">
        <v>41.1</v>
      </c>
      <c r="F48" s="17">
        <f>1/3085.22*E48</f>
        <v>0.013321578363941633</v>
      </c>
      <c r="G48" s="16">
        <f>2822965.18/3085.22*E48</f>
        <v>37606.3518640486</v>
      </c>
      <c r="H48" s="16">
        <f>1874088.22/3085.22*E48+G48*1%</f>
        <v>25341.876602310374</v>
      </c>
      <c r="I48" s="16">
        <f t="shared" si="2"/>
        <v>12264.475261738226</v>
      </c>
      <c r="J48" s="18"/>
    </row>
    <row r="49" spans="1:10" ht="15" customHeight="1">
      <c r="A49" s="52">
        <v>37</v>
      </c>
      <c r="B49" s="30" t="s">
        <v>119</v>
      </c>
      <c r="C49" s="29">
        <v>1975</v>
      </c>
      <c r="D49" s="44">
        <v>20</v>
      </c>
      <c r="E49" s="16">
        <v>58</v>
      </c>
      <c r="F49" s="17">
        <f>1/3085.22*E49</f>
        <v>0.018799307666876267</v>
      </c>
      <c r="G49" s="16">
        <f>2822965.18/3085.22*E49</f>
        <v>53069.79095169875</v>
      </c>
      <c r="H49" s="16">
        <f>1874088.22/3085.22*E49+G49*1%</f>
        <v>35762.25895216549</v>
      </c>
      <c r="I49" s="16">
        <f t="shared" si="2"/>
        <v>17307.53199953326</v>
      </c>
      <c r="J49" s="18"/>
    </row>
    <row r="50" spans="1:10" ht="15" customHeight="1">
      <c r="A50" s="52">
        <v>38</v>
      </c>
      <c r="B50" s="30" t="s">
        <v>119</v>
      </c>
      <c r="C50" s="29">
        <v>1975</v>
      </c>
      <c r="D50" s="44">
        <v>37</v>
      </c>
      <c r="E50" s="16">
        <v>30.8</v>
      </c>
      <c r="F50" s="17">
        <f>1/3085.22*E50</f>
        <v>0.009983080623099811</v>
      </c>
      <c r="G50" s="16">
        <f>2822965.18/3085.22*E50</f>
        <v>28181.888988143473</v>
      </c>
      <c r="H50" s="16">
        <f>1874088.22/3085.22*E50+G50*1%</f>
        <v>18990.992684943052</v>
      </c>
      <c r="I50" s="16">
        <f t="shared" si="2"/>
        <v>9190.896303200421</v>
      </c>
      <c r="J50" s="18"/>
    </row>
    <row r="51" spans="1:10" ht="15" customHeight="1">
      <c r="A51" s="52">
        <v>39</v>
      </c>
      <c r="B51" s="30" t="s">
        <v>119</v>
      </c>
      <c r="C51" s="29">
        <v>1975</v>
      </c>
      <c r="D51" s="44">
        <v>50</v>
      </c>
      <c r="E51" s="16">
        <v>44.8</v>
      </c>
      <c r="F51" s="17">
        <f>1/3085.22*E51</f>
        <v>0.014520844542690634</v>
      </c>
      <c r="G51" s="16">
        <f>2822965.18/3085.22*E51</f>
        <v>40991.83852820869</v>
      </c>
      <c r="H51" s="16">
        <f>1874088.22/3085.22*E51+G51*1%</f>
        <v>27623.262087189894</v>
      </c>
      <c r="I51" s="16">
        <f t="shared" si="2"/>
        <v>13368.576441018795</v>
      </c>
      <c r="J51" s="18"/>
    </row>
    <row r="52" spans="1:10" ht="15" customHeight="1">
      <c r="A52" s="52">
        <v>40</v>
      </c>
      <c r="B52" s="30" t="s">
        <v>120</v>
      </c>
      <c r="C52" s="29">
        <v>1985</v>
      </c>
      <c r="D52" s="44">
        <v>10</v>
      </c>
      <c r="E52" s="16">
        <v>34.5</v>
      </c>
      <c r="F52" s="17">
        <v>0.01118894726600506</v>
      </c>
      <c r="G52" s="16">
        <f>3803249.17/3083.4*E52</f>
        <v>42554.3544026075</v>
      </c>
      <c r="H52" s="16">
        <f>871577.61/3083.4*E52+G52*1%</f>
        <v>10177.579460546798</v>
      </c>
      <c r="I52" s="16">
        <f t="shared" si="2"/>
        <v>32376.774942060707</v>
      </c>
      <c r="J52" s="18"/>
    </row>
    <row r="53" spans="1:10" ht="15" customHeight="1">
      <c r="A53" s="52">
        <v>41</v>
      </c>
      <c r="B53" s="30" t="s">
        <v>120</v>
      </c>
      <c r="C53" s="29">
        <v>1985</v>
      </c>
      <c r="D53" s="44">
        <v>29</v>
      </c>
      <c r="E53" s="16">
        <v>53.1</v>
      </c>
      <c r="F53" s="17">
        <v>0.017221249270286048</v>
      </c>
      <c r="G53" s="16">
        <f>3803249.17/3083.4*E53</f>
        <v>65496.701993578514</v>
      </c>
      <c r="H53" s="16">
        <f>871577.61/3083.4*E53+G53*1%</f>
        <v>15664.622300145944</v>
      </c>
      <c r="I53" s="16">
        <f t="shared" si="2"/>
        <v>49832.07969343257</v>
      </c>
      <c r="J53" s="18"/>
    </row>
    <row r="54" spans="1:10" ht="15" customHeight="1">
      <c r="A54" s="52">
        <v>42</v>
      </c>
      <c r="B54" s="30" t="s">
        <v>120</v>
      </c>
      <c r="C54" s="29">
        <v>1985</v>
      </c>
      <c r="D54" s="44">
        <v>55</v>
      </c>
      <c r="E54" s="16">
        <v>66.6</v>
      </c>
      <c r="F54" s="17">
        <v>0.021599532983070633</v>
      </c>
      <c r="G54" s="16">
        <f>3803249.17/3083.4*E54</f>
        <v>82148.405890251</v>
      </c>
      <c r="H54" s="16">
        <f>871577.61/3083.4*E54+G54*1%</f>
        <v>19647.153393403383</v>
      </c>
      <c r="I54" s="16">
        <f t="shared" si="2"/>
        <v>62501.25249684762</v>
      </c>
      <c r="J54" s="18"/>
    </row>
    <row r="55" spans="1:10" ht="15" customHeight="1">
      <c r="A55" s="52">
        <v>43</v>
      </c>
      <c r="B55" s="30" t="s">
        <v>121</v>
      </c>
      <c r="C55" s="29">
        <v>1973</v>
      </c>
      <c r="D55" s="44">
        <v>4</v>
      </c>
      <c r="E55" s="16">
        <v>58.9</v>
      </c>
      <c r="F55" s="17">
        <v>0.0191</v>
      </c>
      <c r="G55" s="16">
        <f>3803249.17/3083.4*E55</f>
        <v>72650.76737140818</v>
      </c>
      <c r="H55" s="16">
        <f>871577.61/3083.4*E55+G55*1%</f>
        <v>17375.635658730618</v>
      </c>
      <c r="I55" s="16">
        <f t="shared" si="2"/>
        <v>55275.131712677554</v>
      </c>
      <c r="J55" s="18"/>
    </row>
    <row r="56" spans="1:10" ht="15" customHeight="1">
      <c r="A56" s="52">
        <v>44</v>
      </c>
      <c r="B56" s="30" t="s">
        <v>121</v>
      </c>
      <c r="C56" s="29">
        <v>1973</v>
      </c>
      <c r="D56" s="44">
        <v>5</v>
      </c>
      <c r="E56" s="16">
        <v>40.6</v>
      </c>
      <c r="F56" s="17">
        <v>0.013238123186279305</v>
      </c>
      <c r="G56" s="16">
        <f>2998020.94/3067.1*E56</f>
        <v>39685.5825255127</v>
      </c>
      <c r="H56" s="16">
        <f>1046808.92/3067.1*E56+G56*1%</f>
        <v>14253.73761978416</v>
      </c>
      <c r="I56" s="16">
        <f>G56-H56</f>
        <v>25431.84490572854</v>
      </c>
      <c r="J56" s="18"/>
    </row>
    <row r="57" spans="1:10" ht="15" customHeight="1">
      <c r="A57" s="52">
        <v>45</v>
      </c>
      <c r="B57" s="30" t="s">
        <v>121</v>
      </c>
      <c r="C57" s="29">
        <v>1973</v>
      </c>
      <c r="D57" s="44">
        <v>41</v>
      </c>
      <c r="E57" s="16">
        <v>30.3</v>
      </c>
      <c r="F57" s="17">
        <v>0.009879683067592683</v>
      </c>
      <c r="G57" s="16">
        <f>2998020.94/3067.1*E57</f>
        <v>29617.56528381859</v>
      </c>
      <c r="H57" s="16">
        <f>1046808.92/3067.1*E57</f>
        <v>10341.465969808614</v>
      </c>
      <c r="I57" s="16">
        <f>G57-H57</f>
        <v>19276.099314009974</v>
      </c>
      <c r="J57" s="18"/>
    </row>
    <row r="58" spans="1:10" ht="15" customHeight="1">
      <c r="A58" s="52">
        <v>46</v>
      </c>
      <c r="B58" s="30" t="s">
        <v>122</v>
      </c>
      <c r="C58" s="29">
        <v>1986</v>
      </c>
      <c r="D58" s="44">
        <v>14</v>
      </c>
      <c r="E58" s="16">
        <v>47.1</v>
      </c>
      <c r="F58" s="17">
        <v>0.01819727234091875</v>
      </c>
      <c r="G58" s="16">
        <f>3924531.71/2588.3*E58</f>
        <v>71415.77233744155</v>
      </c>
      <c r="H58" s="16">
        <f>860126.33/2588.3*E58+G58*1%</f>
        <v>16366.110797979367</v>
      </c>
      <c r="I58" s="16">
        <f>G58-H58</f>
        <v>55049.661539462184</v>
      </c>
      <c r="J58" s="18"/>
    </row>
    <row r="59" spans="1:10" ht="15" customHeight="1">
      <c r="A59" s="52">
        <v>47</v>
      </c>
      <c r="B59" s="30" t="s">
        <v>122</v>
      </c>
      <c r="C59" s="29">
        <v>1986</v>
      </c>
      <c r="D59" s="44">
        <v>43</v>
      </c>
      <c r="E59" s="16">
        <v>50.2</v>
      </c>
      <c r="F59" s="17">
        <v>0.019394969671212764</v>
      </c>
      <c r="G59" s="16">
        <f>3924531.71/2588.3*E59</f>
        <v>76116.17348916277</v>
      </c>
      <c r="H59" s="16">
        <f>860126.33/2588.3*E59+G59*1%</f>
        <v>17443.285818653167</v>
      </c>
      <c r="I59" s="16">
        <f>G59-H59</f>
        <v>58672.887670509605</v>
      </c>
      <c r="J59" s="18"/>
    </row>
    <row r="60" spans="1:10" ht="15" customHeight="1">
      <c r="A60" s="52">
        <v>48</v>
      </c>
      <c r="B60" s="30" t="s">
        <v>123</v>
      </c>
      <c r="C60" s="29">
        <v>1960</v>
      </c>
      <c r="D60" s="44">
        <v>1</v>
      </c>
      <c r="E60" s="16">
        <v>40.5</v>
      </c>
      <c r="F60" s="17">
        <v>0.22752808988764045</v>
      </c>
      <c r="G60" s="16">
        <f>106203/178*E60</f>
        <v>24164.16573033708</v>
      </c>
      <c r="H60" s="16">
        <f>50888.78/178*E60+G60*1%</f>
        <v>11820.26856741573</v>
      </c>
      <c r="I60" s="16">
        <f t="shared" si="2"/>
        <v>12343.897162921352</v>
      </c>
      <c r="J60" s="18"/>
    </row>
    <row r="61" spans="1:10" ht="15" customHeight="1">
      <c r="A61" s="52">
        <v>49</v>
      </c>
      <c r="B61" s="50" t="s">
        <v>175</v>
      </c>
      <c r="C61" s="51">
        <v>1960</v>
      </c>
      <c r="D61" s="44">
        <v>1</v>
      </c>
      <c r="E61" s="16">
        <v>24.4</v>
      </c>
      <c r="F61" s="17">
        <v>0.2293</v>
      </c>
      <c r="G61" s="16">
        <f>125316.48/106.4*E61</f>
        <v>28737.989774436086</v>
      </c>
      <c r="H61" s="16">
        <f>60047.44/106.4*E61+G61*1%</f>
        <v>14057.65749172932</v>
      </c>
      <c r="I61" s="16">
        <f t="shared" si="2"/>
        <v>14680.332282706766</v>
      </c>
      <c r="J61" s="18"/>
    </row>
    <row r="62" spans="1:10" ht="15" customHeight="1">
      <c r="A62" s="52">
        <v>50</v>
      </c>
      <c r="B62" s="30" t="s">
        <v>55</v>
      </c>
      <c r="C62" s="29">
        <v>1950</v>
      </c>
      <c r="D62" s="40">
        <v>5</v>
      </c>
      <c r="E62" s="16">
        <v>39.5</v>
      </c>
      <c r="F62" s="17">
        <v>0.052526595744680854</v>
      </c>
      <c r="G62" s="16">
        <f>677409/752*E62</f>
        <v>35581.98869680851</v>
      </c>
      <c r="H62" s="16">
        <f>555448.1/752*E62+G62*1%</f>
        <v>29531.61769281915</v>
      </c>
      <c r="I62" s="16">
        <f>G62-H62</f>
        <v>6050.371003989363</v>
      </c>
      <c r="J62" s="18"/>
    </row>
    <row r="63" spans="1:10" ht="15" customHeight="1">
      <c r="A63" s="52">
        <v>51</v>
      </c>
      <c r="B63" s="30" t="s">
        <v>56</v>
      </c>
      <c r="C63" s="29">
        <v>1952</v>
      </c>
      <c r="D63" s="40">
        <v>3</v>
      </c>
      <c r="E63" s="16">
        <v>52.3</v>
      </c>
      <c r="F63" s="17">
        <v>0.1425068119891008</v>
      </c>
      <c r="G63" s="16">
        <f>326610/367*E63</f>
        <v>46544.14986376022</v>
      </c>
      <c r="H63" s="16">
        <f>230938.1/367*E63+G63*1%</f>
        <v>33375.693896457764</v>
      </c>
      <c r="I63" s="16">
        <f>G63-H63</f>
        <v>13168.455967302456</v>
      </c>
      <c r="J63" s="18"/>
    </row>
    <row r="64" spans="1:10" ht="15" customHeight="1">
      <c r="A64" s="52">
        <v>52</v>
      </c>
      <c r="B64" s="30" t="s">
        <v>57</v>
      </c>
      <c r="C64" s="29">
        <v>1954</v>
      </c>
      <c r="D64" s="45" t="s">
        <v>58</v>
      </c>
      <c r="E64" s="16">
        <v>26.3</v>
      </c>
      <c r="F64" s="17">
        <f>1/533.21*E64</f>
        <v>0.049323906153297944</v>
      </c>
      <c r="G64" s="16">
        <f>435102.62/533.21*E64</f>
        <v>21460.960795934057</v>
      </c>
      <c r="H64" s="16">
        <f>333336.18/533.21*E64+G64*1%</f>
        <v>16656.05206777817</v>
      </c>
      <c r="I64" s="16">
        <f>G64-H64</f>
        <v>4804.908728155886</v>
      </c>
      <c r="J64" s="18"/>
    </row>
    <row r="65" spans="1:10" ht="15" customHeight="1">
      <c r="A65" s="52">
        <v>53</v>
      </c>
      <c r="B65" s="30" t="s">
        <v>60</v>
      </c>
      <c r="C65" s="29">
        <v>1958</v>
      </c>
      <c r="D65" s="40">
        <v>1</v>
      </c>
      <c r="E65" s="16">
        <v>39.7</v>
      </c>
      <c r="F65" s="19">
        <v>0.035411017553874706</v>
      </c>
      <c r="G65" s="16">
        <f>659645/1121.12*E65</f>
        <v>23358.70067432568</v>
      </c>
      <c r="H65" s="16">
        <f>568496.61/1121.12*E65+G65*1%</f>
        <v>20364.630442771515</v>
      </c>
      <c r="I65" s="16">
        <f t="shared" si="2"/>
        <v>2994.070231554164</v>
      </c>
      <c r="J65" s="18"/>
    </row>
    <row r="66" spans="1:10" ht="15" customHeight="1">
      <c r="A66" s="52">
        <v>54</v>
      </c>
      <c r="B66" s="30" t="s">
        <v>61</v>
      </c>
      <c r="C66" s="29">
        <v>1956</v>
      </c>
      <c r="D66" s="40">
        <v>1</v>
      </c>
      <c r="E66" s="16">
        <v>30</v>
      </c>
      <c r="F66" s="19">
        <f>1/1493.7*E66</f>
        <v>0.02008435428800964</v>
      </c>
      <c r="G66" s="16">
        <f>348551.49/1493.7*E66</f>
        <v>7000.431612773649</v>
      </c>
      <c r="H66" s="16">
        <f>124437.29/1493.7*E66+G66*1%</f>
        <v>2569.2469351275354</v>
      </c>
      <c r="I66" s="16">
        <f t="shared" si="2"/>
        <v>4431.184677646113</v>
      </c>
      <c r="J66" s="18"/>
    </row>
    <row r="67" spans="1:10" ht="15" customHeight="1">
      <c r="A67" s="52">
        <v>55</v>
      </c>
      <c r="B67" s="30" t="s">
        <v>61</v>
      </c>
      <c r="C67" s="29">
        <v>1956</v>
      </c>
      <c r="D67" s="40">
        <v>4</v>
      </c>
      <c r="E67" s="16">
        <v>53.9</v>
      </c>
      <c r="F67" s="19">
        <f>1/1493.7*E67</f>
        <v>0.03608488987079066</v>
      </c>
      <c r="G67" s="16">
        <f>348551.49/1493.7*E67</f>
        <v>12577.44213094999</v>
      </c>
      <c r="H67" s="16">
        <f>124437.29/1493.7*E67+G67*1%</f>
        <v>4616.080326779139</v>
      </c>
      <c r="I67" s="16">
        <f t="shared" si="2"/>
        <v>7961.361804170851</v>
      </c>
      <c r="J67" s="18"/>
    </row>
    <row r="68" spans="1:10" ht="15" customHeight="1">
      <c r="A68" s="52">
        <v>56</v>
      </c>
      <c r="B68" s="30" t="s">
        <v>62</v>
      </c>
      <c r="C68" s="29">
        <v>1990</v>
      </c>
      <c r="D68" s="40">
        <v>36</v>
      </c>
      <c r="E68" s="16">
        <v>35.2</v>
      </c>
      <c r="F68" s="19">
        <f>1/4334.4*E68</f>
        <v>0.00812107788851975</v>
      </c>
      <c r="G68" s="16">
        <f>3819277.72/4334.4*E68</f>
        <v>31016.651842008127</v>
      </c>
      <c r="H68" s="16">
        <f>467635.17/1476.56*E68+G68*1%</f>
        <v>11458.211964592267</v>
      </c>
      <c r="I68" s="16">
        <f t="shared" si="2"/>
        <v>19558.43987741586</v>
      </c>
      <c r="J68" s="18"/>
    </row>
    <row r="69" spans="1:10" ht="15" customHeight="1">
      <c r="A69" s="52">
        <v>57</v>
      </c>
      <c r="B69" s="50" t="s">
        <v>11</v>
      </c>
      <c r="C69" s="51">
        <v>1975</v>
      </c>
      <c r="D69" s="45" t="s">
        <v>183</v>
      </c>
      <c r="E69" s="16">
        <v>12.54</v>
      </c>
      <c r="F69" s="17">
        <v>0.017</v>
      </c>
      <c r="G69" s="16">
        <f>615087.41/715.2*E69</f>
        <v>10784.670192114094</v>
      </c>
      <c r="H69" s="16">
        <f>227069.57/715.2*E69+G69*1%</f>
        <v>4089.1839611493288</v>
      </c>
      <c r="I69" s="16">
        <f>G69-H69</f>
        <v>6695.486230964765</v>
      </c>
      <c r="J69" s="18"/>
    </row>
    <row r="70" spans="1:10" ht="15" customHeight="1">
      <c r="A70" s="52">
        <v>58</v>
      </c>
      <c r="B70" s="50" t="s">
        <v>12</v>
      </c>
      <c r="C70" s="51">
        <v>1970</v>
      </c>
      <c r="D70" s="44">
        <v>1</v>
      </c>
      <c r="E70" s="16">
        <v>40.7</v>
      </c>
      <c r="F70" s="17">
        <v>0.05596040148494432</v>
      </c>
      <c r="G70" s="16">
        <f>667229.97/727.3*E70</f>
        <v>37338.45700398736</v>
      </c>
      <c r="H70" s="16">
        <f>212957.24/727.3*E70+G70*1%</f>
        <v>12290.557219565517</v>
      </c>
      <c r="I70" s="16">
        <f>G70-H70</f>
        <v>25047.89978442184</v>
      </c>
      <c r="J70" s="18"/>
    </row>
    <row r="71" spans="1:10" ht="15" customHeight="1">
      <c r="A71" s="52">
        <v>59</v>
      </c>
      <c r="B71" s="50" t="s">
        <v>16</v>
      </c>
      <c r="C71" s="51">
        <v>1986</v>
      </c>
      <c r="D71" s="44">
        <v>14</v>
      </c>
      <c r="E71" s="16">
        <v>39.3</v>
      </c>
      <c r="F71" s="17">
        <v>0.030722326454033767</v>
      </c>
      <c r="G71" s="16">
        <f>1371673.03/1279.2*E71</f>
        <v>42140.98661585365</v>
      </c>
      <c r="H71" s="16">
        <f>326915.35/1279.2*E71+G71*1%</f>
        <v>10465.009971693242</v>
      </c>
      <c r="I71" s="16">
        <f t="shared" si="2"/>
        <v>31675.97664416041</v>
      </c>
      <c r="J71" s="18"/>
    </row>
    <row r="72" spans="1:10" ht="15" customHeight="1">
      <c r="A72" s="52">
        <v>60</v>
      </c>
      <c r="B72" s="50" t="s">
        <v>13</v>
      </c>
      <c r="C72" s="51">
        <v>1960</v>
      </c>
      <c r="D72" s="44">
        <v>4</v>
      </c>
      <c r="E72" s="16">
        <v>44.8</v>
      </c>
      <c r="F72" s="17">
        <v>0.327007299270073</v>
      </c>
      <c r="G72" s="16">
        <f>124206.07/137*E72</f>
        <v>40616.291503649634</v>
      </c>
      <c r="H72" s="16">
        <f>74316.94/137*E72+G72*1%</f>
        <v>24708.34475445255</v>
      </c>
      <c r="I72" s="16">
        <f t="shared" si="2"/>
        <v>15907.946749197083</v>
      </c>
      <c r="J72" s="18"/>
    </row>
    <row r="73" spans="1:10" ht="15" customHeight="1">
      <c r="A73" s="52">
        <v>61</v>
      </c>
      <c r="B73" s="50" t="s">
        <v>14</v>
      </c>
      <c r="C73" s="51">
        <v>1960</v>
      </c>
      <c r="D73" s="44">
        <v>2</v>
      </c>
      <c r="E73" s="16">
        <v>28.2</v>
      </c>
      <c r="F73" s="17">
        <f>1/125.3*E73</f>
        <v>0.22505985634477255</v>
      </c>
      <c r="G73" s="16">
        <f>106437.24/125.3*E73</f>
        <v>23954.74994413408</v>
      </c>
      <c r="H73" s="16">
        <f>61757.69/125.3*E73+G73*1%</f>
        <v>14138.724339026337</v>
      </c>
      <c r="I73" s="16">
        <f t="shared" si="2"/>
        <v>9816.025605107743</v>
      </c>
      <c r="J73" s="18"/>
    </row>
    <row r="74" spans="1:10" ht="15" customHeight="1">
      <c r="A74" s="52">
        <v>62</v>
      </c>
      <c r="B74" s="50" t="s">
        <v>15</v>
      </c>
      <c r="C74" s="51">
        <v>1972</v>
      </c>
      <c r="D74" s="44">
        <v>46</v>
      </c>
      <c r="E74" s="16">
        <v>30.2</v>
      </c>
      <c r="F74" s="17">
        <v>0.009759754907346962</v>
      </c>
      <c r="G74" s="16">
        <f>3420560.42/3094.34*E74</f>
        <v>33383.83134497178</v>
      </c>
      <c r="H74" s="16">
        <f>1194345.86/3094.34*E74+G74*1%</f>
        <v>11990.361181654245</v>
      </c>
      <c r="I74" s="16">
        <f>G74-H74</f>
        <v>21393.470163317535</v>
      </c>
      <c r="J74" s="18"/>
    </row>
    <row r="75" spans="1:10" ht="15" customHeight="1">
      <c r="A75" s="52">
        <v>63</v>
      </c>
      <c r="B75" s="30" t="s">
        <v>63</v>
      </c>
      <c r="C75" s="29">
        <v>1956</v>
      </c>
      <c r="D75" s="40">
        <v>6</v>
      </c>
      <c r="E75" s="16">
        <v>75.8</v>
      </c>
      <c r="F75" s="19">
        <v>0.14727025451719447</v>
      </c>
      <c r="G75" s="16">
        <f>376437.6/514.7*E75</f>
        <v>55438.06116184184</v>
      </c>
      <c r="H75" s="16">
        <f>191355.93/514.7*E75+G75*1%</f>
        <v>28735.417126092863</v>
      </c>
      <c r="I75" s="16">
        <f>G75-H75</f>
        <v>26702.644035748977</v>
      </c>
      <c r="J75" s="18"/>
    </row>
    <row r="76" spans="1:10" ht="15" customHeight="1">
      <c r="A76" s="52">
        <v>64</v>
      </c>
      <c r="B76" s="30" t="s">
        <v>64</v>
      </c>
      <c r="C76" s="29">
        <v>1917</v>
      </c>
      <c r="D76" s="40">
        <v>2</v>
      </c>
      <c r="E76" s="16">
        <v>32</v>
      </c>
      <c r="F76" s="19">
        <v>0.5289</v>
      </c>
      <c r="G76" s="16">
        <f>49978.36/60.5*E76</f>
        <v>26434.835041322316</v>
      </c>
      <c r="H76" s="16">
        <f>49978.36/60.5*E76</f>
        <v>26434.835041322316</v>
      </c>
      <c r="I76" s="16">
        <f t="shared" si="2"/>
        <v>0</v>
      </c>
      <c r="J76" s="18"/>
    </row>
    <row r="77" spans="1:10" ht="15" customHeight="1">
      <c r="A77" s="52">
        <v>65</v>
      </c>
      <c r="B77" s="50" t="s">
        <v>17</v>
      </c>
      <c r="C77" s="51">
        <v>1975</v>
      </c>
      <c r="D77" s="44">
        <v>35</v>
      </c>
      <c r="E77" s="16">
        <v>28.5</v>
      </c>
      <c r="F77" s="17">
        <v>0.005511165427782462</v>
      </c>
      <c r="G77" s="16">
        <f>5916783.77/5171.32*E77</f>
        <v>32608.374156888374</v>
      </c>
      <c r="H77" s="16">
        <f>1888439.96/5171.32*E77+G77*1%</f>
        <v>10733.588761563778</v>
      </c>
      <c r="I77" s="16">
        <f>G77-H77</f>
        <v>21874.785395324594</v>
      </c>
      <c r="J77" s="18"/>
    </row>
    <row r="78" spans="1:10" ht="15" customHeight="1">
      <c r="A78" s="52">
        <v>66</v>
      </c>
      <c r="B78" s="50" t="s">
        <v>17</v>
      </c>
      <c r="C78" s="51">
        <v>1975</v>
      </c>
      <c r="D78" s="44">
        <v>69</v>
      </c>
      <c r="E78" s="16">
        <v>42.2</v>
      </c>
      <c r="F78" s="17">
        <v>0.00816039231762877</v>
      </c>
      <c r="G78" s="16">
        <f>5916783.77/5171.32*E78</f>
        <v>48283.27682177858</v>
      </c>
      <c r="H78" s="16">
        <f>1888439.96/5171.32*E78+G78*1%</f>
        <v>15893.243710104964</v>
      </c>
      <c r="I78" s="16">
        <f aca="true" t="shared" si="3" ref="I78:I90">G78-H78</f>
        <v>32390.033111673612</v>
      </c>
      <c r="J78" s="18"/>
    </row>
    <row r="79" spans="1:10" ht="15" customHeight="1">
      <c r="A79" s="52">
        <v>67</v>
      </c>
      <c r="B79" s="50" t="s">
        <v>211</v>
      </c>
      <c r="C79" s="51">
        <v>1958</v>
      </c>
      <c r="D79" s="44">
        <v>2</v>
      </c>
      <c r="E79" s="16">
        <v>10.9</v>
      </c>
      <c r="F79" s="17">
        <f>1/760.1*E79</f>
        <v>0.014340218392316799</v>
      </c>
      <c r="G79" s="16">
        <f>371960/760.1*E79</f>
        <v>5333.987633206158</v>
      </c>
      <c r="H79" s="16">
        <f>8059.22/760.1*E79+G79*1%</f>
        <v>168.91085120378898</v>
      </c>
      <c r="I79" s="16">
        <f>G79-H79</f>
        <v>5165.076782002368</v>
      </c>
      <c r="J79" s="18"/>
    </row>
    <row r="80" spans="1:10" ht="15" customHeight="1">
      <c r="A80" s="52">
        <v>68</v>
      </c>
      <c r="B80" s="50" t="s">
        <v>211</v>
      </c>
      <c r="C80" s="51">
        <v>1958</v>
      </c>
      <c r="D80" s="44">
        <v>5</v>
      </c>
      <c r="E80" s="16">
        <v>9.6</v>
      </c>
      <c r="F80" s="17">
        <f>1/760.1*E80</f>
        <v>0.012629917116168924</v>
      </c>
      <c r="G80" s="16">
        <f>371960/760.1*E80</f>
        <v>4697.823970530193</v>
      </c>
      <c r="H80" s="16">
        <f>8059.22/760.1*E80+G80*1%</f>
        <v>148.76552032627285</v>
      </c>
      <c r="I80" s="16">
        <f>G80-H80</f>
        <v>4549.05845020392</v>
      </c>
      <c r="J80" s="18"/>
    </row>
    <row r="81" spans="1:10" ht="15" customHeight="1">
      <c r="A81" s="52">
        <v>69</v>
      </c>
      <c r="B81" s="50" t="s">
        <v>211</v>
      </c>
      <c r="C81" s="51">
        <v>1958</v>
      </c>
      <c r="D81" s="44">
        <v>6</v>
      </c>
      <c r="E81" s="16">
        <v>23.75</v>
      </c>
      <c r="F81" s="17">
        <f aca="true" t="shared" si="4" ref="F81:F95">1/760.1*E81</f>
        <v>0.03124588869885541</v>
      </c>
      <c r="G81" s="16">
        <f aca="true" t="shared" si="5" ref="G81:G95">371960/760.1*E81</f>
        <v>11622.22076042626</v>
      </c>
      <c r="H81" s="16">
        <f>8059.22/760.1*E81+G81*1%</f>
        <v>368.0396987238521</v>
      </c>
      <c r="I81" s="16">
        <f t="shared" si="3"/>
        <v>11254.181061702408</v>
      </c>
      <c r="J81" s="18"/>
    </row>
    <row r="82" spans="1:10" ht="15" customHeight="1">
      <c r="A82" s="52">
        <v>70</v>
      </c>
      <c r="B82" s="50" t="s">
        <v>211</v>
      </c>
      <c r="C82" s="51">
        <v>1958</v>
      </c>
      <c r="D82" s="44">
        <v>7</v>
      </c>
      <c r="E82" s="16">
        <v>17.01</v>
      </c>
      <c r="F82" s="17">
        <f t="shared" si="4"/>
        <v>0.022378634390211816</v>
      </c>
      <c r="G82" s="16">
        <f t="shared" si="5"/>
        <v>8323.956847783187</v>
      </c>
      <c r="H82" s="16">
        <f aca="true" t="shared" si="6" ref="H82:H95">8059.22/760.1*E82+G82*1%</f>
        <v>263.5939063281147</v>
      </c>
      <c r="I82" s="16">
        <f t="shared" si="3"/>
        <v>8060.362941455072</v>
      </c>
      <c r="J82" s="18"/>
    </row>
    <row r="83" spans="1:10" ht="15" customHeight="1">
      <c r="A83" s="52">
        <v>71</v>
      </c>
      <c r="B83" s="50" t="s">
        <v>211</v>
      </c>
      <c r="C83" s="51">
        <v>1958</v>
      </c>
      <c r="D83" s="44">
        <v>9</v>
      </c>
      <c r="E83" s="16">
        <v>17.97</v>
      </c>
      <c r="F83" s="17">
        <f t="shared" si="4"/>
        <v>0.023641626101828704</v>
      </c>
      <c r="G83" s="16">
        <f t="shared" si="5"/>
        <v>8793.739244836204</v>
      </c>
      <c r="H83" s="16">
        <f t="shared" si="6"/>
        <v>278.470458360742</v>
      </c>
      <c r="I83" s="16">
        <f t="shared" si="3"/>
        <v>8515.268786475463</v>
      </c>
      <c r="J83" s="18"/>
    </row>
    <row r="84" spans="1:10" ht="15" customHeight="1">
      <c r="A84" s="52">
        <v>72</v>
      </c>
      <c r="B84" s="50" t="s">
        <v>211</v>
      </c>
      <c r="C84" s="51">
        <v>1958</v>
      </c>
      <c r="D84" s="44">
        <v>10</v>
      </c>
      <c r="E84" s="16">
        <v>16.4</v>
      </c>
      <c r="F84" s="17">
        <f t="shared" si="4"/>
        <v>0.021576108406788575</v>
      </c>
      <c r="G84" s="16">
        <f t="shared" si="5"/>
        <v>8025.44928298908</v>
      </c>
      <c r="H84" s="16">
        <f t="shared" si="6"/>
        <v>254.14109722404942</v>
      </c>
      <c r="I84" s="16">
        <f t="shared" si="3"/>
        <v>7771.30818576503</v>
      </c>
      <c r="J84" s="18"/>
    </row>
    <row r="85" spans="1:10" ht="15" customHeight="1">
      <c r="A85" s="52">
        <v>73</v>
      </c>
      <c r="B85" s="50" t="s">
        <v>211</v>
      </c>
      <c r="C85" s="51">
        <v>1958</v>
      </c>
      <c r="D85" s="44">
        <v>12</v>
      </c>
      <c r="E85" s="16">
        <v>17.06</v>
      </c>
      <c r="F85" s="17">
        <f t="shared" si="4"/>
        <v>0.02244441520852519</v>
      </c>
      <c r="G85" s="16">
        <f t="shared" si="5"/>
        <v>8348.424680963031</v>
      </c>
      <c r="H85" s="16">
        <f t="shared" si="6"/>
        <v>264.3687267464807</v>
      </c>
      <c r="I85" s="16">
        <f t="shared" si="3"/>
        <v>8084.05595421655</v>
      </c>
      <c r="J85" s="18"/>
    </row>
    <row r="86" spans="1:10" ht="15" customHeight="1">
      <c r="A86" s="52">
        <v>74</v>
      </c>
      <c r="B86" s="50" t="s">
        <v>211</v>
      </c>
      <c r="C86" s="51">
        <v>1958</v>
      </c>
      <c r="D86" s="44">
        <v>15</v>
      </c>
      <c r="E86" s="16">
        <v>15.7</v>
      </c>
      <c r="F86" s="17">
        <f t="shared" si="4"/>
        <v>0.02065517695040126</v>
      </c>
      <c r="G86" s="16">
        <f t="shared" si="5"/>
        <v>7682.899618471253</v>
      </c>
      <c r="H86" s="16">
        <f t="shared" si="6"/>
        <v>243.29361136692538</v>
      </c>
      <c r="I86" s="16">
        <f t="shared" si="3"/>
        <v>7439.606007104328</v>
      </c>
      <c r="J86" s="18"/>
    </row>
    <row r="87" spans="1:10" ht="15" customHeight="1">
      <c r="A87" s="52">
        <v>75</v>
      </c>
      <c r="B87" s="50" t="s">
        <v>211</v>
      </c>
      <c r="C87" s="51">
        <v>1958</v>
      </c>
      <c r="D87" s="44">
        <v>17</v>
      </c>
      <c r="E87" s="16">
        <v>10.9</v>
      </c>
      <c r="F87" s="17">
        <f t="shared" si="4"/>
        <v>0.014340218392316799</v>
      </c>
      <c r="G87" s="16">
        <f t="shared" si="5"/>
        <v>5333.987633206158</v>
      </c>
      <c r="H87" s="16">
        <f t="shared" si="6"/>
        <v>168.91085120378898</v>
      </c>
      <c r="I87" s="16">
        <f t="shared" si="3"/>
        <v>5165.076782002368</v>
      </c>
      <c r="J87" s="18"/>
    </row>
    <row r="88" spans="1:10" ht="15" customHeight="1">
      <c r="A88" s="52">
        <v>76</v>
      </c>
      <c r="B88" s="50" t="s">
        <v>211</v>
      </c>
      <c r="C88" s="51">
        <v>1958</v>
      </c>
      <c r="D88" s="44">
        <v>18</v>
      </c>
      <c r="E88" s="16">
        <v>9.8</v>
      </c>
      <c r="F88" s="17">
        <f t="shared" si="4"/>
        <v>0.012893040389422444</v>
      </c>
      <c r="G88" s="16">
        <f t="shared" si="5"/>
        <v>4795.695303249573</v>
      </c>
      <c r="H88" s="16">
        <f t="shared" si="6"/>
        <v>151.86480199973687</v>
      </c>
      <c r="I88" s="16">
        <f t="shared" si="3"/>
        <v>4643.830501249836</v>
      </c>
      <c r="J88" s="18"/>
    </row>
    <row r="89" spans="1:10" ht="15" customHeight="1">
      <c r="A89" s="52">
        <v>77</v>
      </c>
      <c r="B89" s="50" t="s">
        <v>211</v>
      </c>
      <c r="C89" s="51">
        <v>1958</v>
      </c>
      <c r="D89" s="44">
        <v>23</v>
      </c>
      <c r="E89" s="16">
        <v>9.6</v>
      </c>
      <c r="F89" s="17">
        <f t="shared" si="4"/>
        <v>0.012629917116168924</v>
      </c>
      <c r="G89" s="16">
        <f t="shared" si="5"/>
        <v>4697.823970530193</v>
      </c>
      <c r="H89" s="16">
        <f t="shared" si="6"/>
        <v>148.76552032627285</v>
      </c>
      <c r="I89" s="16">
        <f t="shared" si="3"/>
        <v>4549.05845020392</v>
      </c>
      <c r="J89" s="18"/>
    </row>
    <row r="90" spans="1:10" ht="15" customHeight="1">
      <c r="A90" s="52">
        <v>78</v>
      </c>
      <c r="B90" s="50" t="s">
        <v>211</v>
      </c>
      <c r="C90" s="51">
        <v>1958</v>
      </c>
      <c r="D90" s="44">
        <v>24</v>
      </c>
      <c r="E90" s="16">
        <v>23.73</v>
      </c>
      <c r="F90" s="17">
        <f t="shared" si="4"/>
        <v>0.03121957637153006</v>
      </c>
      <c r="G90" s="16">
        <f t="shared" si="5"/>
        <v>11612.433627154322</v>
      </c>
      <c r="H90" s="16">
        <f t="shared" si="6"/>
        <v>367.72977055650574</v>
      </c>
      <c r="I90" s="16">
        <f t="shared" si="3"/>
        <v>11244.703856597816</v>
      </c>
      <c r="J90" s="18"/>
    </row>
    <row r="91" spans="1:10" ht="15" customHeight="1">
      <c r="A91" s="52">
        <v>79</v>
      </c>
      <c r="B91" s="50" t="s">
        <v>211</v>
      </c>
      <c r="C91" s="51">
        <v>1958</v>
      </c>
      <c r="D91" s="44">
        <v>27</v>
      </c>
      <c r="E91" s="16">
        <v>17.77</v>
      </c>
      <c r="F91" s="17">
        <f t="shared" si="4"/>
        <v>0.023378502828575187</v>
      </c>
      <c r="G91" s="16">
        <f t="shared" si="5"/>
        <v>8695.867912116826</v>
      </c>
      <c r="H91" s="16">
        <f t="shared" si="6"/>
        <v>275.37117668727797</v>
      </c>
      <c r="I91" s="16">
        <f aca="true" t="shared" si="7" ref="I91:I100">G91-H91</f>
        <v>8420.496735429548</v>
      </c>
      <c r="J91" s="18"/>
    </row>
    <row r="92" spans="1:10" ht="15" customHeight="1">
      <c r="A92" s="52">
        <v>80</v>
      </c>
      <c r="B92" s="50" t="s">
        <v>211</v>
      </c>
      <c r="C92" s="51">
        <v>1958</v>
      </c>
      <c r="D92" s="44">
        <v>28</v>
      </c>
      <c r="E92" s="16">
        <v>17.77</v>
      </c>
      <c r="F92" s="17">
        <f t="shared" si="4"/>
        <v>0.023378502828575187</v>
      </c>
      <c r="G92" s="16">
        <f t="shared" si="5"/>
        <v>8695.867912116826</v>
      </c>
      <c r="H92" s="16">
        <f t="shared" si="6"/>
        <v>275.37117668727797</v>
      </c>
      <c r="I92" s="16">
        <f t="shared" si="7"/>
        <v>8420.496735429548</v>
      </c>
      <c r="J92" s="18"/>
    </row>
    <row r="93" spans="1:10" ht="15" customHeight="1">
      <c r="A93" s="52">
        <v>81</v>
      </c>
      <c r="B93" s="50" t="s">
        <v>211</v>
      </c>
      <c r="C93" s="51">
        <v>1958</v>
      </c>
      <c r="D93" s="44">
        <v>29</v>
      </c>
      <c r="E93" s="16">
        <v>17.01</v>
      </c>
      <c r="F93" s="17">
        <f t="shared" si="4"/>
        <v>0.022378634390211816</v>
      </c>
      <c r="G93" s="16">
        <f t="shared" si="5"/>
        <v>8323.956847783187</v>
      </c>
      <c r="H93" s="16">
        <f t="shared" si="6"/>
        <v>263.5939063281147</v>
      </c>
      <c r="I93" s="16">
        <f t="shared" si="7"/>
        <v>8060.362941455072</v>
      </c>
      <c r="J93" s="18"/>
    </row>
    <row r="94" spans="1:10" ht="15" customHeight="1">
      <c r="A94" s="52">
        <v>82</v>
      </c>
      <c r="B94" s="50" t="s">
        <v>211</v>
      </c>
      <c r="C94" s="51">
        <v>1958</v>
      </c>
      <c r="D94" s="44">
        <v>30</v>
      </c>
      <c r="E94" s="16">
        <v>15.7</v>
      </c>
      <c r="F94" s="17">
        <f t="shared" si="4"/>
        <v>0.02065517695040126</v>
      </c>
      <c r="G94" s="16">
        <f t="shared" si="5"/>
        <v>7682.899618471253</v>
      </c>
      <c r="H94" s="16">
        <f t="shared" si="6"/>
        <v>243.29361136692538</v>
      </c>
      <c r="I94" s="16">
        <f t="shared" si="7"/>
        <v>7439.606007104328</v>
      </c>
      <c r="J94" s="18"/>
    </row>
    <row r="95" spans="1:10" ht="15" customHeight="1">
      <c r="A95" s="52">
        <v>83</v>
      </c>
      <c r="B95" s="50" t="s">
        <v>211</v>
      </c>
      <c r="C95" s="51">
        <v>1958</v>
      </c>
      <c r="D95" s="44">
        <v>34</v>
      </c>
      <c r="E95" s="16">
        <v>22.97</v>
      </c>
      <c r="F95" s="17">
        <f t="shared" si="4"/>
        <v>0.030219707933166685</v>
      </c>
      <c r="G95" s="16">
        <f t="shared" si="5"/>
        <v>11240.52256282068</v>
      </c>
      <c r="H95" s="16">
        <f t="shared" si="6"/>
        <v>355.95250019734243</v>
      </c>
      <c r="I95" s="16">
        <f t="shared" si="7"/>
        <v>10884.57006262334</v>
      </c>
      <c r="J95" s="18"/>
    </row>
    <row r="96" spans="1:10" ht="15" customHeight="1">
      <c r="A96" s="52">
        <v>84</v>
      </c>
      <c r="B96" s="50" t="s">
        <v>18</v>
      </c>
      <c r="C96" s="51">
        <v>1960</v>
      </c>
      <c r="D96" s="44">
        <v>3</v>
      </c>
      <c r="E96" s="16">
        <v>32.2</v>
      </c>
      <c r="F96" s="17">
        <v>0.2471220260936301</v>
      </c>
      <c r="G96" s="16">
        <f>119722.4/130.3*E96</f>
        <v>29586.042056792016</v>
      </c>
      <c r="H96" s="16">
        <f>71733.74/130.3*E96+G96*1%</f>
        <v>18022.847588641594</v>
      </c>
      <c r="I96" s="16">
        <f t="shared" si="7"/>
        <v>11563.194468150421</v>
      </c>
      <c r="J96" s="18"/>
    </row>
    <row r="97" spans="1:10" ht="15" customHeight="1">
      <c r="A97" s="52">
        <v>85</v>
      </c>
      <c r="B97" s="50" t="s">
        <v>19</v>
      </c>
      <c r="C97" s="51">
        <v>1960</v>
      </c>
      <c r="D97" s="44">
        <v>2</v>
      </c>
      <c r="E97" s="16">
        <v>33.1</v>
      </c>
      <c r="F97" s="17">
        <v>0.25267175572519085</v>
      </c>
      <c r="G97" s="16">
        <f>130434.35/131*E97</f>
        <v>32957.076221374045</v>
      </c>
      <c r="H97" s="16">
        <f>78155.2/131*E97+G97*1%</f>
        <v>20077.182365267177</v>
      </c>
      <c r="I97" s="16">
        <f t="shared" si="7"/>
        <v>12879.893856106868</v>
      </c>
      <c r="J97" s="18"/>
    </row>
    <row r="98" spans="1:10" ht="15" customHeight="1">
      <c r="A98" s="52">
        <v>86</v>
      </c>
      <c r="B98" s="30" t="s">
        <v>124</v>
      </c>
      <c r="C98" s="29">
        <v>1960</v>
      </c>
      <c r="D98" s="44">
        <v>1</v>
      </c>
      <c r="E98" s="16">
        <v>25</v>
      </c>
      <c r="F98" s="17">
        <f>1/151*E98</f>
        <v>0.16556291390728478</v>
      </c>
      <c r="G98" s="16">
        <f>92105/151*E98</f>
        <v>15249.172185430465</v>
      </c>
      <c r="H98" s="16">
        <f>1995.5/151*E98+G98*1%</f>
        <v>482.87251655629143</v>
      </c>
      <c r="I98" s="16">
        <f t="shared" si="7"/>
        <v>14766.299668874173</v>
      </c>
      <c r="J98" s="18"/>
    </row>
    <row r="99" spans="1:10" ht="15" customHeight="1">
      <c r="A99" s="52">
        <v>87</v>
      </c>
      <c r="B99" s="50" t="s">
        <v>20</v>
      </c>
      <c r="C99" s="51">
        <v>1960</v>
      </c>
      <c r="D99" s="44">
        <v>2</v>
      </c>
      <c r="E99" s="16">
        <v>32</v>
      </c>
      <c r="F99" s="17">
        <v>0.20382165605095542</v>
      </c>
      <c r="G99" s="16">
        <f>129000.72/157*E99</f>
        <v>26293.140382165606</v>
      </c>
      <c r="H99" s="16">
        <f>77292.89/157*E99+G99*1%</f>
        <v>16016.896244585987</v>
      </c>
      <c r="I99" s="16">
        <f>G99-H99</f>
        <v>10276.244137579619</v>
      </c>
      <c r="J99" s="18"/>
    </row>
    <row r="100" spans="1:10" ht="15" customHeight="1">
      <c r="A100" s="52">
        <v>88</v>
      </c>
      <c r="B100" s="50" t="s">
        <v>21</v>
      </c>
      <c r="C100" s="51">
        <v>1968</v>
      </c>
      <c r="D100" s="44">
        <v>1</v>
      </c>
      <c r="E100" s="16">
        <v>35</v>
      </c>
      <c r="F100" s="17">
        <v>0.501432664756447</v>
      </c>
      <c r="G100" s="16">
        <f>63246.72/69.8*E100</f>
        <v>31713.97134670487</v>
      </c>
      <c r="H100" s="16">
        <f>24613.81/69.8*E100+G100*1%</f>
        <v>12659.308051575932</v>
      </c>
      <c r="I100" s="16">
        <f t="shared" si="7"/>
        <v>19054.66329512894</v>
      </c>
      <c r="J100" s="18"/>
    </row>
    <row r="101" spans="1:10" ht="15" customHeight="1">
      <c r="A101" s="52">
        <v>89</v>
      </c>
      <c r="B101" s="30" t="s">
        <v>65</v>
      </c>
      <c r="C101" s="29">
        <v>1983</v>
      </c>
      <c r="D101" s="40">
        <v>55</v>
      </c>
      <c r="E101" s="16">
        <v>43.5</v>
      </c>
      <c r="F101" s="19">
        <v>0.0066816171049397894</v>
      </c>
      <c r="G101" s="16">
        <f>9607891.33/6510.4*E101</f>
        <v>64196.2510529307</v>
      </c>
      <c r="H101" s="16">
        <f>2407857.3/6510.4*E101+G101*1%</f>
        <v>16730.343032463443</v>
      </c>
      <c r="I101" s="16">
        <f aca="true" t="shared" si="8" ref="I101:I128">G101-H101</f>
        <v>47465.90802046725</v>
      </c>
      <c r="J101" s="18"/>
    </row>
    <row r="102" spans="1:10" ht="15" customHeight="1">
      <c r="A102" s="52">
        <v>90</v>
      </c>
      <c r="B102" s="30" t="s">
        <v>65</v>
      </c>
      <c r="C102" s="29">
        <v>1983</v>
      </c>
      <c r="D102" s="40">
        <v>132</v>
      </c>
      <c r="E102" s="16">
        <v>60.8</v>
      </c>
      <c r="F102" s="19">
        <v>0.009338903907594004</v>
      </c>
      <c r="G102" s="16">
        <f>9607891.33/6510.4*E102</f>
        <v>89727.17388547555</v>
      </c>
      <c r="H102" s="16">
        <f>2407857.3/6510.4*E102+G102*1%</f>
        <v>23384.0196867535</v>
      </c>
      <c r="I102" s="16">
        <f t="shared" si="8"/>
        <v>66343.15419872206</v>
      </c>
      <c r="J102" s="18"/>
    </row>
    <row r="103" spans="1:10" ht="15" customHeight="1">
      <c r="A103" s="52">
        <v>91</v>
      </c>
      <c r="B103" s="30" t="s">
        <v>66</v>
      </c>
      <c r="C103" s="29">
        <v>1989</v>
      </c>
      <c r="D103" s="40">
        <v>9</v>
      </c>
      <c r="E103" s="16">
        <v>60.4</v>
      </c>
      <c r="F103" s="19">
        <v>0.017799781923201603</v>
      </c>
      <c r="G103" s="16">
        <f aca="true" t="shared" si="9" ref="G103:G108">18680919.01/3393.3*E103</f>
        <v>332516.2845029912</v>
      </c>
      <c r="H103" s="16">
        <f aca="true" t="shared" si="10" ref="H103:H108">6329871.75/3393.3*E103+G103*1%</f>
        <v>115995.4995968644</v>
      </c>
      <c r="I103" s="16">
        <f t="shared" si="8"/>
        <v>216520.7849061268</v>
      </c>
      <c r="J103" s="18"/>
    </row>
    <row r="104" spans="1:10" ht="15" customHeight="1">
      <c r="A104" s="52">
        <v>92</v>
      </c>
      <c r="B104" s="30" t="s">
        <v>66</v>
      </c>
      <c r="C104" s="29">
        <v>1989</v>
      </c>
      <c r="D104" s="40">
        <v>30</v>
      </c>
      <c r="E104" s="16">
        <v>46.8</v>
      </c>
      <c r="F104" s="19">
        <v>0.0138</v>
      </c>
      <c r="G104" s="16">
        <v>257645.07</v>
      </c>
      <c r="H104" s="16">
        <v>89877.3</v>
      </c>
      <c r="I104" s="16">
        <v>167767.77</v>
      </c>
      <c r="J104" s="18"/>
    </row>
    <row r="105" spans="1:10" ht="15" customHeight="1">
      <c r="A105" s="52">
        <v>93</v>
      </c>
      <c r="B105" s="30" t="s">
        <v>66</v>
      </c>
      <c r="C105" s="29">
        <v>1989</v>
      </c>
      <c r="D105" s="40">
        <v>49</v>
      </c>
      <c r="E105" s="16">
        <v>52</v>
      </c>
      <c r="F105" s="19">
        <v>0.0153</v>
      </c>
      <c r="G105" s="16">
        <v>286272.3</v>
      </c>
      <c r="H105" s="16">
        <v>99863.67</v>
      </c>
      <c r="I105" s="16">
        <v>186408.63</v>
      </c>
      <c r="J105" s="18"/>
    </row>
    <row r="106" spans="1:10" ht="15" customHeight="1">
      <c r="A106" s="52">
        <v>94</v>
      </c>
      <c r="B106" s="30" t="s">
        <v>66</v>
      </c>
      <c r="C106" s="29">
        <v>1989</v>
      </c>
      <c r="D106" s="40">
        <v>51</v>
      </c>
      <c r="E106" s="16">
        <v>46.9</v>
      </c>
      <c r="F106" s="19">
        <v>0.013821353844340316</v>
      </c>
      <c r="G106" s="16">
        <f t="shared" si="9"/>
        <v>258195.59177467364</v>
      </c>
      <c r="H106" s="16">
        <f t="shared" si="10"/>
        <v>90069.3531637904</v>
      </c>
      <c r="I106" s="16">
        <f t="shared" si="8"/>
        <v>168126.23861088324</v>
      </c>
      <c r="J106" s="18"/>
    </row>
    <row r="107" spans="1:10" ht="15" customHeight="1">
      <c r="A107" s="52">
        <v>95</v>
      </c>
      <c r="B107" s="30" t="s">
        <v>66</v>
      </c>
      <c r="C107" s="29">
        <v>1989</v>
      </c>
      <c r="D107" s="40">
        <v>72</v>
      </c>
      <c r="E107" s="16">
        <v>49.9</v>
      </c>
      <c r="F107" s="19">
        <v>0.014705448972976157</v>
      </c>
      <c r="G107" s="16">
        <f t="shared" si="9"/>
        <v>274711.3012698553</v>
      </c>
      <c r="H107" s="16">
        <f t="shared" si="10"/>
        <v>95830.71903780685</v>
      </c>
      <c r="I107" s="16">
        <f t="shared" si="8"/>
        <v>178880.58223204844</v>
      </c>
      <c r="J107" s="18"/>
    </row>
    <row r="108" spans="1:10" ht="15" customHeight="1">
      <c r="A108" s="52">
        <v>96</v>
      </c>
      <c r="B108" s="30" t="s">
        <v>66</v>
      </c>
      <c r="C108" s="29">
        <v>1989</v>
      </c>
      <c r="D108" s="40">
        <v>74</v>
      </c>
      <c r="E108" s="16">
        <v>33.1</v>
      </c>
      <c r="F108" s="19">
        <v>0.0098</v>
      </c>
      <c r="G108" s="16">
        <f t="shared" si="9"/>
        <v>182223.3280968379</v>
      </c>
      <c r="H108" s="16">
        <f t="shared" si="10"/>
        <v>63567.07014331477</v>
      </c>
      <c r="I108" s="16">
        <f t="shared" si="8"/>
        <v>118656.25795352313</v>
      </c>
      <c r="J108" s="18"/>
    </row>
    <row r="109" spans="1:10" ht="15" customHeight="1">
      <c r="A109" s="52">
        <v>97</v>
      </c>
      <c r="B109" s="30" t="s">
        <v>67</v>
      </c>
      <c r="C109" s="29">
        <v>1990</v>
      </c>
      <c r="D109" s="40">
        <v>7</v>
      </c>
      <c r="E109" s="16">
        <v>35.3</v>
      </c>
      <c r="F109" s="19">
        <v>0.0049935140900558336</v>
      </c>
      <c r="G109" s="16">
        <f aca="true" t="shared" si="11" ref="G109:G115">7437476.33/7067.07*E109</f>
        <v>37150.178850499564</v>
      </c>
      <c r="H109" s="16">
        <f aca="true" t="shared" si="12" ref="H109:H115">2256034.59/7067.07*E109+G109*1%</f>
        <v>11640.389888806818</v>
      </c>
      <c r="I109" s="16">
        <f t="shared" si="8"/>
        <v>25509.788961692746</v>
      </c>
      <c r="J109" s="18"/>
    </row>
    <row r="110" spans="1:10" ht="15" customHeight="1">
      <c r="A110" s="52">
        <v>98</v>
      </c>
      <c r="B110" s="30" t="s">
        <v>67</v>
      </c>
      <c r="C110" s="29">
        <v>1990</v>
      </c>
      <c r="D110" s="40">
        <v>37</v>
      </c>
      <c r="E110" s="16">
        <v>47.2</v>
      </c>
      <c r="F110" s="19">
        <v>0.0066768800297630415</v>
      </c>
      <c r="G110" s="16">
        <f t="shared" si="11"/>
        <v>49673.89353381246</v>
      </c>
      <c r="H110" s="16">
        <f t="shared" si="12"/>
        <v>15564.487330075972</v>
      </c>
      <c r="I110" s="16">
        <f t="shared" si="8"/>
        <v>34109.406203736486</v>
      </c>
      <c r="J110" s="18"/>
    </row>
    <row r="111" spans="1:10" ht="15" customHeight="1">
      <c r="A111" s="52">
        <v>99</v>
      </c>
      <c r="B111" s="30" t="s">
        <v>67</v>
      </c>
      <c r="C111" s="29">
        <v>1990</v>
      </c>
      <c r="D111" s="40">
        <v>59</v>
      </c>
      <c r="E111" s="16">
        <v>35.4</v>
      </c>
      <c r="F111" s="19">
        <v>0.005007660022322281</v>
      </c>
      <c r="G111" s="16">
        <f t="shared" si="11"/>
        <v>37255.42015035934</v>
      </c>
      <c r="H111" s="16">
        <f t="shared" si="12"/>
        <v>11673.365497556979</v>
      </c>
      <c r="I111" s="16">
        <f t="shared" si="8"/>
        <v>25582.054652802362</v>
      </c>
      <c r="J111" s="18"/>
    </row>
    <row r="112" spans="1:10" ht="15" customHeight="1">
      <c r="A112" s="52">
        <v>100</v>
      </c>
      <c r="B112" s="30" t="s">
        <v>67</v>
      </c>
      <c r="C112" s="29">
        <v>1990</v>
      </c>
      <c r="D112" s="40">
        <v>94</v>
      </c>
      <c r="E112" s="16">
        <v>33.4</v>
      </c>
      <c r="F112" s="19">
        <v>0.004724741376993339</v>
      </c>
      <c r="G112" s="16">
        <f t="shared" si="11"/>
        <v>35150.5941531639</v>
      </c>
      <c r="H112" s="16">
        <f t="shared" si="12"/>
        <v>11013.85332255376</v>
      </c>
      <c r="I112" s="16">
        <f t="shared" si="8"/>
        <v>24136.740830610135</v>
      </c>
      <c r="J112" s="18"/>
    </row>
    <row r="113" spans="1:10" ht="15" customHeight="1">
      <c r="A113" s="52">
        <v>101</v>
      </c>
      <c r="B113" s="30" t="s">
        <v>67</v>
      </c>
      <c r="C113" s="29">
        <v>1990</v>
      </c>
      <c r="D113" s="40">
        <v>103</v>
      </c>
      <c r="E113" s="16">
        <v>34</v>
      </c>
      <c r="F113" s="19">
        <v>0.004809616970592022</v>
      </c>
      <c r="G113" s="16">
        <f t="shared" si="11"/>
        <v>35782.04195232253</v>
      </c>
      <c r="H113" s="16">
        <f t="shared" si="12"/>
        <v>11211.706975054725</v>
      </c>
      <c r="I113" s="16">
        <f t="shared" si="8"/>
        <v>24570.334977267805</v>
      </c>
      <c r="J113" s="18"/>
    </row>
    <row r="114" spans="1:10" ht="15" customHeight="1">
      <c r="A114" s="52">
        <v>102</v>
      </c>
      <c r="B114" s="30" t="s">
        <v>67</v>
      </c>
      <c r="C114" s="29">
        <v>1990</v>
      </c>
      <c r="D114" s="40">
        <v>161</v>
      </c>
      <c r="E114" s="16">
        <v>34.6</v>
      </c>
      <c r="F114" s="19">
        <v>0.004894492564190704</v>
      </c>
      <c r="G114" s="16">
        <f t="shared" si="11"/>
        <v>36413.48975148117</v>
      </c>
      <c r="H114" s="16">
        <f t="shared" si="12"/>
        <v>11409.560627555693</v>
      </c>
      <c r="I114" s="16">
        <f t="shared" si="8"/>
        <v>25003.929123925474</v>
      </c>
      <c r="J114" s="18"/>
    </row>
    <row r="115" spans="1:10" ht="15" customHeight="1">
      <c r="A115" s="52">
        <v>103</v>
      </c>
      <c r="B115" s="30" t="s">
        <v>67</v>
      </c>
      <c r="C115" s="29">
        <v>1990</v>
      </c>
      <c r="D115" s="40">
        <v>166</v>
      </c>
      <c r="E115" s="16">
        <v>34.9</v>
      </c>
      <c r="F115" s="19">
        <v>0.004936930360990045</v>
      </c>
      <c r="G115" s="16">
        <f t="shared" si="11"/>
        <v>36729.21365106048</v>
      </c>
      <c r="H115" s="16">
        <f t="shared" si="12"/>
        <v>11508.487453806174</v>
      </c>
      <c r="I115" s="16">
        <f t="shared" si="8"/>
        <v>25220.72619725431</v>
      </c>
      <c r="J115" s="18"/>
    </row>
    <row r="116" spans="1:10" ht="15" customHeight="1">
      <c r="A116" s="52">
        <v>104</v>
      </c>
      <c r="B116" s="30" t="s">
        <v>68</v>
      </c>
      <c r="C116" s="29">
        <v>1991</v>
      </c>
      <c r="D116" s="40">
        <v>2</v>
      </c>
      <c r="E116" s="16">
        <v>35.1</v>
      </c>
      <c r="F116" s="19">
        <v>0.013434378229417844</v>
      </c>
      <c r="G116" s="16">
        <f>2810542.97/2612.7*E116</f>
        <v>37757.89728901137</v>
      </c>
      <c r="H116" s="16">
        <f>475450.24/2612.7*E116+G116*1%</f>
        <v>6764.9573263176035</v>
      </c>
      <c r="I116" s="16">
        <f t="shared" si="8"/>
        <v>30992.93996269377</v>
      </c>
      <c r="J116" s="18"/>
    </row>
    <row r="117" spans="1:10" ht="15" customHeight="1">
      <c r="A117" s="52">
        <v>105</v>
      </c>
      <c r="B117" s="30" t="s">
        <v>69</v>
      </c>
      <c r="C117" s="29">
        <v>1964</v>
      </c>
      <c r="D117" s="40">
        <v>26</v>
      </c>
      <c r="E117" s="16">
        <v>45.52</v>
      </c>
      <c r="F117" s="19">
        <f>1/1236.38*E117</f>
        <v>0.036817159772885355</v>
      </c>
      <c r="G117" s="16">
        <f>898204.38/1236.38*E117</f>
        <v>33069.334167165434</v>
      </c>
      <c r="H117" s="16">
        <f>498206.81/1236.38*E117+G117*1%</f>
        <v>18673.253065381192</v>
      </c>
      <c r="I117" s="16">
        <f t="shared" si="8"/>
        <v>14396.081101784242</v>
      </c>
      <c r="J117" s="18"/>
    </row>
    <row r="118" spans="1:10" ht="15" customHeight="1">
      <c r="A118" s="52">
        <v>106</v>
      </c>
      <c r="B118" s="30" t="s">
        <v>69</v>
      </c>
      <c r="C118" s="29">
        <v>1964</v>
      </c>
      <c r="D118" s="40">
        <v>28</v>
      </c>
      <c r="E118" s="16">
        <v>32.3</v>
      </c>
      <c r="F118" s="19">
        <f>1/1236.38*E118</f>
        <v>0.026124654232517506</v>
      </c>
      <c r="G118" s="16">
        <f>898204.38/1236.38*E118</f>
        <v>23465.278857632762</v>
      </c>
      <c r="H118" s="16">
        <f>498206.81/1236.38*E118+G118*1%</f>
        <v>13250.133436111873</v>
      </c>
      <c r="I118" s="16">
        <f t="shared" si="8"/>
        <v>10215.145421520889</v>
      </c>
      <c r="J118" s="18"/>
    </row>
    <row r="119" spans="1:10" ht="15" customHeight="1">
      <c r="A119" s="52">
        <v>107</v>
      </c>
      <c r="B119" s="30" t="s">
        <v>179</v>
      </c>
      <c r="C119" s="29">
        <v>1966</v>
      </c>
      <c r="D119" s="45" t="s">
        <v>76</v>
      </c>
      <c r="E119" s="16">
        <v>22.4</v>
      </c>
      <c r="F119" s="19">
        <v>0.012869864981327203</v>
      </c>
      <c r="G119" s="16">
        <f aca="true" t="shared" si="13" ref="G119:G125">995602/1748.8*E119</f>
        <v>12752.450137236963</v>
      </c>
      <c r="H119" s="16">
        <f>244752.82/1748.8*E119+G119*1%</f>
        <v>3262.5103019213175</v>
      </c>
      <c r="I119" s="16">
        <f t="shared" si="8"/>
        <v>9489.939835315647</v>
      </c>
      <c r="J119" s="18"/>
    </row>
    <row r="120" spans="1:10" ht="15" customHeight="1">
      <c r="A120" s="52">
        <v>108</v>
      </c>
      <c r="B120" s="30" t="s">
        <v>179</v>
      </c>
      <c r="C120" s="29">
        <v>1966</v>
      </c>
      <c r="D120" s="45" t="s">
        <v>70</v>
      </c>
      <c r="E120" s="16">
        <v>7.7</v>
      </c>
      <c r="F120" s="19">
        <v>0.0044</v>
      </c>
      <c r="G120" s="16">
        <f t="shared" si="13"/>
        <v>4383.654734675207</v>
      </c>
      <c r="H120" s="16">
        <f aca="true" t="shared" si="14" ref="H120:H125">244752.82/1748.8*E120+G120*1%</f>
        <v>1121.487916285453</v>
      </c>
      <c r="I120" s="16">
        <f t="shared" si="8"/>
        <v>3262.1668183897536</v>
      </c>
      <c r="J120" s="18"/>
    </row>
    <row r="121" spans="1:10" ht="15" customHeight="1">
      <c r="A121" s="52">
        <v>109</v>
      </c>
      <c r="B121" s="30" t="s">
        <v>179</v>
      </c>
      <c r="C121" s="29">
        <v>1966</v>
      </c>
      <c r="D121" s="45" t="s">
        <v>71</v>
      </c>
      <c r="E121" s="16">
        <v>12.6</v>
      </c>
      <c r="F121" s="19">
        <v>0.007239299051996552</v>
      </c>
      <c r="G121" s="16">
        <f t="shared" si="13"/>
        <v>7173.253202195792</v>
      </c>
      <c r="H121" s="16">
        <f t="shared" si="14"/>
        <v>1835.1620448307413</v>
      </c>
      <c r="I121" s="16">
        <f t="shared" si="8"/>
        <v>5338.091157365051</v>
      </c>
      <c r="J121" s="18"/>
    </row>
    <row r="122" spans="1:10" ht="15" customHeight="1">
      <c r="A122" s="52">
        <v>110</v>
      </c>
      <c r="B122" s="30" t="s">
        <v>179</v>
      </c>
      <c r="C122" s="29">
        <v>1966</v>
      </c>
      <c r="D122" s="45" t="s">
        <v>72</v>
      </c>
      <c r="E122" s="16">
        <v>22.3</v>
      </c>
      <c r="F122" s="19">
        <v>0.012812410226946281</v>
      </c>
      <c r="G122" s="16">
        <f t="shared" si="13"/>
        <v>12695.519556267156</v>
      </c>
      <c r="H122" s="16">
        <f t="shared" si="14"/>
        <v>3247.9455237877405</v>
      </c>
      <c r="I122" s="16">
        <f t="shared" si="8"/>
        <v>9447.574032479415</v>
      </c>
      <c r="J122" s="18"/>
    </row>
    <row r="123" spans="1:10" ht="15" customHeight="1">
      <c r="A123" s="52">
        <v>111</v>
      </c>
      <c r="B123" s="30" t="s">
        <v>179</v>
      </c>
      <c r="C123" s="29">
        <v>1966</v>
      </c>
      <c r="D123" s="45" t="s">
        <v>73</v>
      </c>
      <c r="E123" s="16">
        <v>10.9</v>
      </c>
      <c r="F123" s="19">
        <v>0.006262568227520827</v>
      </c>
      <c r="G123" s="16">
        <f t="shared" si="13"/>
        <v>6205.433325709058</v>
      </c>
      <c r="H123" s="16">
        <f t="shared" si="14"/>
        <v>1587.560816559927</v>
      </c>
      <c r="I123" s="16">
        <f t="shared" si="8"/>
        <v>4617.8725091491315</v>
      </c>
      <c r="J123" s="18"/>
    </row>
    <row r="124" spans="1:10" ht="15" customHeight="1">
      <c r="A124" s="52">
        <v>112</v>
      </c>
      <c r="B124" s="30" t="s">
        <v>179</v>
      </c>
      <c r="C124" s="29">
        <v>1966</v>
      </c>
      <c r="D124" s="45" t="s">
        <v>74</v>
      </c>
      <c r="E124" s="16">
        <v>9.4</v>
      </c>
      <c r="F124" s="19">
        <v>0.0054</v>
      </c>
      <c r="G124" s="16">
        <f t="shared" si="13"/>
        <v>5351.474611161941</v>
      </c>
      <c r="H124" s="16">
        <f t="shared" si="14"/>
        <v>1369.0891445562672</v>
      </c>
      <c r="I124" s="16">
        <f t="shared" si="8"/>
        <v>3982.385466605673</v>
      </c>
      <c r="J124" s="18"/>
    </row>
    <row r="125" spans="1:10" ht="15" customHeight="1">
      <c r="A125" s="52">
        <v>113</v>
      </c>
      <c r="B125" s="30" t="s">
        <v>179</v>
      </c>
      <c r="C125" s="29">
        <v>1966</v>
      </c>
      <c r="D125" s="45" t="s">
        <v>75</v>
      </c>
      <c r="E125" s="16">
        <v>17</v>
      </c>
      <c r="F125" s="19">
        <v>0.009767308244757253</v>
      </c>
      <c r="G125" s="16">
        <f t="shared" si="13"/>
        <v>9678.198764867338</v>
      </c>
      <c r="H125" s="16">
        <f t="shared" si="14"/>
        <v>2476.0122827081427</v>
      </c>
      <c r="I125" s="16">
        <f t="shared" si="8"/>
        <v>7202.186482159195</v>
      </c>
      <c r="J125" s="18"/>
    </row>
    <row r="126" spans="1:10" ht="15" customHeight="1">
      <c r="A126" s="52">
        <v>114</v>
      </c>
      <c r="B126" s="30" t="s">
        <v>77</v>
      </c>
      <c r="C126" s="29">
        <v>1967</v>
      </c>
      <c r="D126" s="40">
        <v>4</v>
      </c>
      <c r="E126" s="16">
        <v>53.2</v>
      </c>
      <c r="F126" s="19">
        <f>1/1972.25*E126</f>
        <v>0.02697426796805679</v>
      </c>
      <c r="G126" s="16">
        <f>995602/1972.25*E126</f>
        <v>26855.635137533274</v>
      </c>
      <c r="H126" s="16">
        <f>205528.81/1972.25*E126+G126*1%</f>
        <v>5812.545547471163</v>
      </c>
      <c r="I126" s="16">
        <f t="shared" si="8"/>
        <v>21043.08959006211</v>
      </c>
      <c r="J126" s="18"/>
    </row>
    <row r="127" spans="1:10" ht="15.75" customHeight="1">
      <c r="A127" s="52">
        <v>115</v>
      </c>
      <c r="B127" s="30" t="s">
        <v>77</v>
      </c>
      <c r="C127" s="29">
        <v>1967</v>
      </c>
      <c r="D127" s="40">
        <v>30</v>
      </c>
      <c r="E127" s="16">
        <v>44.3</v>
      </c>
      <c r="F127" s="19">
        <f>1/1972.25*E127</f>
        <v>0.022461655469641274</v>
      </c>
      <c r="G127" s="16">
        <f>995602/1972.25*E127</f>
        <v>22362.86910888579</v>
      </c>
      <c r="H127" s="16">
        <f>205528.81/1972.25*E127+G127*1%</f>
        <v>4840.146010394219</v>
      </c>
      <c r="I127" s="16">
        <f t="shared" si="8"/>
        <v>17522.72309849157</v>
      </c>
      <c r="J127" s="18"/>
    </row>
    <row r="128" spans="1:10" ht="15.75" customHeight="1">
      <c r="A128" s="52">
        <v>116</v>
      </c>
      <c r="B128" s="30" t="s">
        <v>77</v>
      </c>
      <c r="C128" s="29">
        <v>1967</v>
      </c>
      <c r="D128" s="40">
        <v>14</v>
      </c>
      <c r="E128" s="16">
        <v>46.1</v>
      </c>
      <c r="F128" s="19">
        <f>1/1972.25*E128</f>
        <v>0.023374318671568008</v>
      </c>
      <c r="G128" s="16">
        <f>995602/1972.25*E128</f>
        <v>23271.51841805045</v>
      </c>
      <c r="H128" s="16">
        <f>205528.81/1972.25*E128+G128*1%</f>
        <v>5036.811085308657</v>
      </c>
      <c r="I128" s="16">
        <f t="shared" si="8"/>
        <v>18234.707332741793</v>
      </c>
      <c r="J128" s="18"/>
    </row>
    <row r="129" spans="1:10" ht="15.75" customHeight="1">
      <c r="A129" s="52">
        <v>117</v>
      </c>
      <c r="B129" s="50" t="s">
        <v>22</v>
      </c>
      <c r="C129" s="51">
        <v>1953</v>
      </c>
      <c r="D129" s="44">
        <v>3</v>
      </c>
      <c r="E129" s="16">
        <v>16.3</v>
      </c>
      <c r="F129" s="17">
        <v>0.2012345679012346</v>
      </c>
      <c r="G129" s="16">
        <f>42611.13/81*E129</f>
        <v>8574.832333333332</v>
      </c>
      <c r="H129" s="16">
        <f>23400.66/81*E129+G129*1%</f>
        <v>4794.770027037037</v>
      </c>
      <c r="I129" s="16">
        <f>G129-H129</f>
        <v>3780.062306296295</v>
      </c>
      <c r="J129" s="18"/>
    </row>
    <row r="130" spans="1:10" ht="15.75" customHeight="1">
      <c r="A130" s="52">
        <v>118</v>
      </c>
      <c r="B130" s="50" t="s">
        <v>23</v>
      </c>
      <c r="C130" s="51">
        <v>1958</v>
      </c>
      <c r="D130" s="44">
        <v>1</v>
      </c>
      <c r="E130" s="16">
        <v>85.7</v>
      </c>
      <c r="F130" s="17">
        <v>0.09586129753914989</v>
      </c>
      <c r="G130" s="16">
        <f>407368.07/894*E130</f>
        <v>39050.83176621924</v>
      </c>
      <c r="H130" s="16">
        <f>204944.87/894*E130+G130*1%</f>
        <v>20036.789479854586</v>
      </c>
      <c r="I130" s="16">
        <f aca="true" t="shared" si="15" ref="I130:I136">G130-H130</f>
        <v>19014.042286364656</v>
      </c>
      <c r="J130" s="18"/>
    </row>
    <row r="131" spans="1:10" ht="15.75" customHeight="1">
      <c r="A131" s="52">
        <v>119</v>
      </c>
      <c r="B131" s="30" t="s">
        <v>125</v>
      </c>
      <c r="C131" s="29">
        <v>1971</v>
      </c>
      <c r="D131" s="44">
        <v>1</v>
      </c>
      <c r="E131" s="16">
        <v>25.7</v>
      </c>
      <c r="F131" s="17">
        <f>1/64.1*E131</f>
        <v>0.40093603744149764</v>
      </c>
      <c r="G131" s="16">
        <f>43606.35/64.1*E131</f>
        <v>17483.357176287052</v>
      </c>
      <c r="H131" s="16">
        <f>15662.02/64.1*E131+G131*1%</f>
        <v>6454.301808892356</v>
      </c>
      <c r="I131" s="16">
        <f t="shared" si="15"/>
        <v>11029.055367394696</v>
      </c>
      <c r="J131" s="18"/>
    </row>
    <row r="132" spans="1:10" ht="15.75" customHeight="1">
      <c r="A132" s="52">
        <v>120</v>
      </c>
      <c r="B132" s="30" t="s">
        <v>125</v>
      </c>
      <c r="C132" s="29">
        <v>1971</v>
      </c>
      <c r="D132" s="44">
        <v>2</v>
      </c>
      <c r="E132" s="16">
        <v>38.4</v>
      </c>
      <c r="F132" s="17">
        <f>1/64.1*E132</f>
        <v>0.5990639625585024</v>
      </c>
      <c r="G132" s="16">
        <f>43606.35/64.1*E132</f>
        <v>26122.99282371295</v>
      </c>
      <c r="H132" s="16">
        <f>15662.02/64.1*E132+G132*1%</f>
        <v>9643.781691107646</v>
      </c>
      <c r="I132" s="16">
        <f t="shared" si="15"/>
        <v>16479.211132605305</v>
      </c>
      <c r="J132" s="18"/>
    </row>
    <row r="133" spans="1:10" ht="15.75" customHeight="1">
      <c r="A133" s="52">
        <v>121</v>
      </c>
      <c r="B133" s="30" t="s">
        <v>78</v>
      </c>
      <c r="C133" s="29">
        <v>1917</v>
      </c>
      <c r="D133" s="40">
        <v>1</v>
      </c>
      <c r="E133" s="16">
        <v>46.2</v>
      </c>
      <c r="F133" s="19">
        <v>0.525</v>
      </c>
      <c r="G133" s="16">
        <f>91017.49/88*E133</f>
        <v>47784.18225000001</v>
      </c>
      <c r="H133" s="16">
        <v>47784.18</v>
      </c>
      <c r="I133" s="16">
        <f t="shared" si="15"/>
        <v>0.0022500000122818165</v>
      </c>
      <c r="J133" s="18"/>
    </row>
    <row r="134" spans="1:10" ht="15.75" customHeight="1">
      <c r="A134" s="52">
        <v>122</v>
      </c>
      <c r="B134" s="30" t="s">
        <v>79</v>
      </c>
      <c r="C134" s="29">
        <v>1917</v>
      </c>
      <c r="D134" s="40">
        <v>1</v>
      </c>
      <c r="E134" s="16">
        <v>70</v>
      </c>
      <c r="F134" s="19">
        <v>1</v>
      </c>
      <c r="G134" s="16">
        <v>80874.72</v>
      </c>
      <c r="H134" s="16">
        <v>80874.72</v>
      </c>
      <c r="I134" s="16">
        <f t="shared" si="15"/>
        <v>0</v>
      </c>
      <c r="J134" s="18"/>
    </row>
    <row r="135" spans="1:10" ht="15.75" customHeight="1">
      <c r="A135" s="52">
        <v>123</v>
      </c>
      <c r="B135" s="30" t="s">
        <v>80</v>
      </c>
      <c r="C135" s="29">
        <v>1917</v>
      </c>
      <c r="D135" s="40">
        <v>1</v>
      </c>
      <c r="E135" s="16">
        <v>27.2</v>
      </c>
      <c r="F135" s="19">
        <v>0.09441166261714681</v>
      </c>
      <c r="G135" s="16">
        <f>376857.59/288.1*E135</f>
        <v>35579.751641791045</v>
      </c>
      <c r="H135" s="16">
        <f>376857.59/288.1*E135</f>
        <v>35579.751641791045</v>
      </c>
      <c r="I135" s="16">
        <f t="shared" si="15"/>
        <v>0</v>
      </c>
      <c r="J135" s="18"/>
    </row>
    <row r="136" spans="1:10" ht="15.75" customHeight="1">
      <c r="A136" s="52">
        <v>124</v>
      </c>
      <c r="B136" s="30" t="s">
        <v>80</v>
      </c>
      <c r="C136" s="29">
        <v>1917</v>
      </c>
      <c r="D136" s="40">
        <v>6</v>
      </c>
      <c r="E136" s="16">
        <v>19.8</v>
      </c>
      <c r="F136" s="19">
        <v>0.06872613675807011</v>
      </c>
      <c r="G136" s="16">
        <f>376857.59/288.1*E136</f>
        <v>25899.966268656717</v>
      </c>
      <c r="H136" s="16">
        <f>376857.59/288.1*E136</f>
        <v>25899.966268656717</v>
      </c>
      <c r="I136" s="16">
        <f t="shared" si="15"/>
        <v>0</v>
      </c>
      <c r="J136" s="18"/>
    </row>
    <row r="137" spans="1:10" ht="15.75" customHeight="1">
      <c r="A137" s="52">
        <v>125</v>
      </c>
      <c r="B137" s="30" t="s">
        <v>81</v>
      </c>
      <c r="C137" s="29">
        <v>1917</v>
      </c>
      <c r="D137" s="40">
        <v>3</v>
      </c>
      <c r="E137" s="16">
        <v>43</v>
      </c>
      <c r="F137" s="19">
        <v>0.3134110787172012</v>
      </c>
      <c r="G137" s="16">
        <f>178425.08/137.2*E137</f>
        <v>55920.39679300292</v>
      </c>
      <c r="H137" s="16">
        <f>178425.08/137.2*E137</f>
        <v>55920.39679300292</v>
      </c>
      <c r="I137" s="16">
        <f aca="true" t="shared" si="16" ref="I137:I152">G137-H137</f>
        <v>0</v>
      </c>
      <c r="J137" s="18"/>
    </row>
    <row r="138" spans="1:10" ht="15.75" customHeight="1">
      <c r="A138" s="52">
        <v>126</v>
      </c>
      <c r="B138" s="50" t="s">
        <v>82</v>
      </c>
      <c r="C138" s="29">
        <v>1917</v>
      </c>
      <c r="D138" s="40">
        <v>7</v>
      </c>
      <c r="E138" s="16">
        <v>23.3</v>
      </c>
      <c r="F138" s="19">
        <v>0.0916</v>
      </c>
      <c r="G138" s="16">
        <f>197513.21/254.3*E138</f>
        <v>18096.963401494297</v>
      </c>
      <c r="H138" s="16">
        <f>197513.21/254.3*E138</f>
        <v>18096.963401494297</v>
      </c>
      <c r="I138" s="16">
        <f t="shared" si="16"/>
        <v>0</v>
      </c>
      <c r="J138" s="18"/>
    </row>
    <row r="139" spans="1:10" ht="15.75" customHeight="1">
      <c r="A139" s="52">
        <v>127</v>
      </c>
      <c r="B139" s="30" t="s">
        <v>83</v>
      </c>
      <c r="C139" s="29">
        <v>1917</v>
      </c>
      <c r="D139" s="40">
        <v>1</v>
      </c>
      <c r="E139" s="16">
        <v>36.3</v>
      </c>
      <c r="F139" s="19">
        <v>0.3531</v>
      </c>
      <c r="G139" s="16">
        <f>76931.74/102.8*E139</f>
        <v>27165.585233463036</v>
      </c>
      <c r="H139" s="16">
        <f>76931.74/102.8*E139</f>
        <v>27165.585233463036</v>
      </c>
      <c r="I139" s="16">
        <f t="shared" si="16"/>
        <v>0</v>
      </c>
      <c r="J139" s="18"/>
    </row>
    <row r="140" spans="1:10" ht="15.75" customHeight="1">
      <c r="A140" s="52">
        <v>128</v>
      </c>
      <c r="B140" s="30" t="s">
        <v>84</v>
      </c>
      <c r="C140" s="29">
        <v>1917</v>
      </c>
      <c r="D140" s="40">
        <v>1</v>
      </c>
      <c r="E140" s="16">
        <v>26.5</v>
      </c>
      <c r="F140" s="19">
        <v>0.2461</v>
      </c>
      <c r="G140" s="16">
        <f>82245.42/107.7*E140</f>
        <v>20236.802506963788</v>
      </c>
      <c r="H140" s="16">
        <f>82245.42/107.7*E140</f>
        <v>20236.802506963788</v>
      </c>
      <c r="I140" s="16">
        <f t="shared" si="16"/>
        <v>0</v>
      </c>
      <c r="J140" s="18"/>
    </row>
    <row r="141" spans="1:10" ht="15.75" customHeight="1">
      <c r="A141" s="52">
        <v>129</v>
      </c>
      <c r="B141" s="30" t="s">
        <v>85</v>
      </c>
      <c r="C141" s="29">
        <v>1917</v>
      </c>
      <c r="D141" s="40">
        <v>2</v>
      </c>
      <c r="E141" s="16">
        <v>32.3</v>
      </c>
      <c r="F141" s="19">
        <v>0.5168</v>
      </c>
      <c r="G141" s="16">
        <f>44086.5/62.5*E141</f>
        <v>22783.903199999997</v>
      </c>
      <c r="H141" s="16">
        <f>44086.5/62.5*E141</f>
        <v>22783.903199999997</v>
      </c>
      <c r="I141" s="16">
        <f t="shared" si="16"/>
        <v>0</v>
      </c>
      <c r="J141" s="18"/>
    </row>
    <row r="142" spans="1:10" ht="15.75" customHeight="1">
      <c r="A142" s="52">
        <v>130</v>
      </c>
      <c r="B142" s="30" t="s">
        <v>86</v>
      </c>
      <c r="C142" s="29">
        <v>1917</v>
      </c>
      <c r="D142" s="40">
        <v>1</v>
      </c>
      <c r="E142" s="16">
        <v>26</v>
      </c>
      <c r="F142" s="19">
        <f>1/124*E142</f>
        <v>0.2096774193548387</v>
      </c>
      <c r="G142" s="16">
        <f>108557.55/124*E142</f>
        <v>22762.066935483872</v>
      </c>
      <c r="H142" s="16">
        <f>108557.55/124*E142</f>
        <v>22762.066935483872</v>
      </c>
      <c r="I142" s="16">
        <f>G142-H142</f>
        <v>0</v>
      </c>
      <c r="J142" s="18"/>
    </row>
    <row r="143" spans="1:10" ht="15.75" customHeight="1">
      <c r="A143" s="52">
        <v>131</v>
      </c>
      <c r="B143" s="30" t="s">
        <v>86</v>
      </c>
      <c r="C143" s="29">
        <v>1917</v>
      </c>
      <c r="D143" s="40">
        <v>6</v>
      </c>
      <c r="E143" s="16">
        <v>13.8</v>
      </c>
      <c r="F143" s="19">
        <f>1/124*E143</f>
        <v>0.11129032258064517</v>
      </c>
      <c r="G143" s="16">
        <f>108557.55/124*E143</f>
        <v>12081.404758064516</v>
      </c>
      <c r="H143" s="16">
        <f>108557.55/124*E143</f>
        <v>12081.404758064516</v>
      </c>
      <c r="I143" s="16">
        <f>G143-H143</f>
        <v>0</v>
      </c>
      <c r="J143" s="18"/>
    </row>
    <row r="144" spans="1:10" ht="15.75" customHeight="1">
      <c r="A144" s="52">
        <v>132</v>
      </c>
      <c r="B144" s="30" t="s">
        <v>87</v>
      </c>
      <c r="C144" s="29">
        <v>1917</v>
      </c>
      <c r="D144" s="40">
        <v>4</v>
      </c>
      <c r="E144" s="16">
        <v>48.3</v>
      </c>
      <c r="F144" s="19">
        <v>0.5047</v>
      </c>
      <c r="G144" s="16">
        <f>61395.93/95.7*E144</f>
        <v>30986.660595611283</v>
      </c>
      <c r="H144" s="16">
        <f>61395.93/95.7*E144</f>
        <v>30986.660595611283</v>
      </c>
      <c r="I144" s="16">
        <f t="shared" si="16"/>
        <v>0</v>
      </c>
      <c r="J144" s="18"/>
    </row>
    <row r="145" spans="1:10" ht="15.75" customHeight="1">
      <c r="A145" s="52">
        <v>133</v>
      </c>
      <c r="B145" s="50" t="s">
        <v>88</v>
      </c>
      <c r="C145" s="29">
        <v>1917</v>
      </c>
      <c r="D145" s="40">
        <v>1</v>
      </c>
      <c r="E145" s="16">
        <v>34</v>
      </c>
      <c r="F145" s="19">
        <v>0.3291</v>
      </c>
      <c r="G145" s="16">
        <f>57685.52/103.3*E145</f>
        <v>18986.521587608906</v>
      </c>
      <c r="H145" s="16">
        <f>57685.52/103.3*E145</f>
        <v>18986.521587608906</v>
      </c>
      <c r="I145" s="16">
        <f>G145-H145</f>
        <v>0</v>
      </c>
      <c r="J145" s="18"/>
    </row>
    <row r="146" spans="1:10" ht="15.75" customHeight="1">
      <c r="A146" s="52">
        <v>134</v>
      </c>
      <c r="B146" s="50" t="s">
        <v>88</v>
      </c>
      <c r="C146" s="29">
        <v>1917</v>
      </c>
      <c r="D146" s="40">
        <v>2</v>
      </c>
      <c r="E146" s="16">
        <v>21.2</v>
      </c>
      <c r="F146" s="19">
        <v>0.2052</v>
      </c>
      <c r="G146" s="16">
        <f>57685.52/103.3*E146</f>
        <v>11838.65463697967</v>
      </c>
      <c r="H146" s="16">
        <f>57685.52/103.3*E146</f>
        <v>11838.65463697967</v>
      </c>
      <c r="I146" s="16">
        <f>G146-H146</f>
        <v>0</v>
      </c>
      <c r="J146" s="18"/>
    </row>
    <row r="147" spans="1:10" ht="15.75" customHeight="1">
      <c r="A147" s="52">
        <v>135</v>
      </c>
      <c r="B147" s="30" t="s">
        <v>89</v>
      </c>
      <c r="C147" s="29">
        <v>1917</v>
      </c>
      <c r="D147" s="40">
        <v>4</v>
      </c>
      <c r="E147" s="16">
        <v>33.9</v>
      </c>
      <c r="F147" s="19">
        <v>0.1571</v>
      </c>
      <c r="G147" s="16">
        <f>182456.4/215.8*E147</f>
        <v>28662.05727525486</v>
      </c>
      <c r="H147" s="16">
        <f>182456.4/215.8*E147</f>
        <v>28662.05727525486</v>
      </c>
      <c r="I147" s="16">
        <f t="shared" si="16"/>
        <v>0</v>
      </c>
      <c r="J147" s="18"/>
    </row>
    <row r="148" spans="1:10" ht="15.75" customHeight="1">
      <c r="A148" s="52">
        <v>136</v>
      </c>
      <c r="B148" s="30" t="s">
        <v>205</v>
      </c>
      <c r="C148" s="29">
        <v>1960</v>
      </c>
      <c r="D148" s="40">
        <v>7</v>
      </c>
      <c r="E148" s="16">
        <v>39</v>
      </c>
      <c r="F148" s="19">
        <v>0.0325</v>
      </c>
      <c r="G148" s="16">
        <v>29000.29</v>
      </c>
      <c r="H148" s="16">
        <v>13625.44</v>
      </c>
      <c r="I148" s="16">
        <v>15374.85</v>
      </c>
      <c r="J148" s="18"/>
    </row>
    <row r="149" spans="1:10" ht="15.75" customHeight="1">
      <c r="A149" s="52">
        <v>137</v>
      </c>
      <c r="B149" s="50" t="s">
        <v>24</v>
      </c>
      <c r="C149" s="51">
        <v>1984</v>
      </c>
      <c r="D149" s="44">
        <v>46</v>
      </c>
      <c r="E149" s="16">
        <v>67.7</v>
      </c>
      <c r="F149" s="17">
        <v>0.014593977020414324</v>
      </c>
      <c r="G149" s="16">
        <f>4938215.75/4638.9*E149</f>
        <v>72068.20717734809</v>
      </c>
      <c r="H149" s="16">
        <f>1181056.62/4638.9*E149+G149*1%</f>
        <v>17956.995243861697</v>
      </c>
      <c r="I149" s="16">
        <f t="shared" si="16"/>
        <v>54111.21193348639</v>
      </c>
      <c r="J149" s="18"/>
    </row>
    <row r="150" spans="1:10" ht="15.75" customHeight="1">
      <c r="A150" s="52">
        <v>138</v>
      </c>
      <c r="B150" s="50" t="s">
        <v>25</v>
      </c>
      <c r="C150" s="51">
        <v>1981</v>
      </c>
      <c r="D150" s="44">
        <v>2</v>
      </c>
      <c r="E150" s="16">
        <v>62.1</v>
      </c>
      <c r="F150" s="17">
        <v>0.010146146996593443</v>
      </c>
      <c r="G150" s="16">
        <f>7930561.28/6120.55*E150</f>
        <v>80464.64051237225</v>
      </c>
      <c r="H150" s="16">
        <f>2134642.66/6120.55*E150+G150*1%</f>
        <v>22463.044618682965</v>
      </c>
      <c r="I150" s="16">
        <f t="shared" si="16"/>
        <v>58001.595893689286</v>
      </c>
      <c r="J150" s="18"/>
    </row>
    <row r="151" spans="1:10" ht="15.75" customHeight="1">
      <c r="A151" s="52">
        <v>139</v>
      </c>
      <c r="B151" s="50" t="s">
        <v>176</v>
      </c>
      <c r="C151" s="51">
        <v>1987</v>
      </c>
      <c r="D151" s="44">
        <v>20</v>
      </c>
      <c r="E151" s="16">
        <v>52.9</v>
      </c>
      <c r="F151" s="17">
        <v>0.00863236565982931</v>
      </c>
      <c r="G151" s="16">
        <f>7803789.14/6128.1*E151</f>
        <v>67365.1613886849</v>
      </c>
      <c r="H151" s="16">
        <f>704755.67/6128.1*E151+G151*1%</f>
        <v>6757.360258164847</v>
      </c>
      <c r="I151" s="16">
        <f t="shared" si="16"/>
        <v>60607.80113052005</v>
      </c>
      <c r="J151" s="18"/>
    </row>
    <row r="152" spans="1:10" ht="15.75" customHeight="1">
      <c r="A152" s="52">
        <v>140</v>
      </c>
      <c r="B152" s="50" t="s">
        <v>176</v>
      </c>
      <c r="C152" s="51">
        <v>1987</v>
      </c>
      <c r="D152" s="44">
        <v>90</v>
      </c>
      <c r="E152" s="16">
        <v>50.2</v>
      </c>
      <c r="F152" s="17">
        <v>0.008191772327475073</v>
      </c>
      <c r="G152" s="16">
        <f>7803789.14/6128.1*E152</f>
        <v>63926.8639265025</v>
      </c>
      <c r="H152" s="16">
        <f>704755.67/6128.1*E152+G152*1%</f>
        <v>6412.466634402181</v>
      </c>
      <c r="I152" s="16">
        <f t="shared" si="16"/>
        <v>57514.397292100315</v>
      </c>
      <c r="J152" s="18"/>
    </row>
    <row r="153" spans="1:10" ht="15.75" customHeight="1">
      <c r="A153" s="52">
        <v>141</v>
      </c>
      <c r="B153" s="50" t="s">
        <v>26</v>
      </c>
      <c r="C153" s="51">
        <v>1986</v>
      </c>
      <c r="D153" s="44">
        <v>3</v>
      </c>
      <c r="E153" s="16">
        <v>44</v>
      </c>
      <c r="F153" s="17">
        <v>0.02450570871623503</v>
      </c>
      <c r="G153" s="16">
        <f>2084879.93/1795.6*E153</f>
        <v>51088.61490309645</v>
      </c>
      <c r="H153" s="16">
        <f>436087.39/1795.6*E153+G153*1%</f>
        <v>11196.921546669637</v>
      </c>
      <c r="I153" s="16">
        <f aca="true" t="shared" si="17" ref="I153:I165">G153-H153</f>
        <v>39891.69335642681</v>
      </c>
      <c r="J153" s="18"/>
    </row>
    <row r="154" spans="1:10" ht="15.75" customHeight="1">
      <c r="A154" s="52">
        <v>142</v>
      </c>
      <c r="B154" s="50" t="s">
        <v>26</v>
      </c>
      <c r="C154" s="51">
        <v>1986</v>
      </c>
      <c r="D154" s="44">
        <v>4</v>
      </c>
      <c r="E154" s="16">
        <v>63.2</v>
      </c>
      <c r="F154" s="17">
        <v>0.03519910888331941</v>
      </c>
      <c r="G154" s="16">
        <f>2084879.93/1795.6*E154</f>
        <v>73381.82867899309</v>
      </c>
      <c r="H154" s="16">
        <f>436087.39/1795.6*E154+G154*1%</f>
        <v>16082.850948852752</v>
      </c>
      <c r="I154" s="16">
        <f t="shared" si="17"/>
        <v>57298.97773014034</v>
      </c>
      <c r="J154" s="18"/>
    </row>
    <row r="155" spans="1:10" ht="15.75" customHeight="1">
      <c r="A155" s="52">
        <v>143</v>
      </c>
      <c r="B155" s="50" t="s">
        <v>27</v>
      </c>
      <c r="C155" s="51">
        <v>1988</v>
      </c>
      <c r="D155" s="44">
        <v>30</v>
      </c>
      <c r="E155" s="16">
        <v>50.3</v>
      </c>
      <c r="F155" s="17">
        <v>0.0109703168960328</v>
      </c>
      <c r="G155" s="16">
        <f>6178152.12/4553.1*E155</f>
        <v>68252.63043552743</v>
      </c>
      <c r="H155" s="16">
        <f>1230481.95/4553.1*E155+G155*1%</f>
        <v>14276.17504587204</v>
      </c>
      <c r="I155" s="16">
        <f t="shared" si="17"/>
        <v>53976.45538965539</v>
      </c>
      <c r="J155" s="18"/>
    </row>
    <row r="156" spans="1:10" ht="15.75" customHeight="1">
      <c r="A156" s="52">
        <v>144</v>
      </c>
      <c r="B156" s="50" t="s">
        <v>177</v>
      </c>
      <c r="C156" s="51">
        <v>1988</v>
      </c>
      <c r="D156" s="44">
        <v>79</v>
      </c>
      <c r="E156" s="16">
        <v>52.1</v>
      </c>
      <c r="F156" s="17">
        <v>0.01136289284857473</v>
      </c>
      <c r="G156" s="16">
        <f>6178152.12/4553.1*E156</f>
        <v>70695.07049087435</v>
      </c>
      <c r="H156" s="16">
        <f>1230481.95/4553.1*E156+G156*1%</f>
        <v>14787.052085286947</v>
      </c>
      <c r="I156" s="16">
        <f t="shared" si="17"/>
        <v>55908.018405587405</v>
      </c>
      <c r="J156" s="18"/>
    </row>
    <row r="157" spans="1:10" ht="15.75" customHeight="1">
      <c r="A157" s="52">
        <v>145</v>
      </c>
      <c r="B157" s="50" t="s">
        <v>28</v>
      </c>
      <c r="C157" s="51">
        <v>1964</v>
      </c>
      <c r="D157" s="44">
        <v>1</v>
      </c>
      <c r="E157" s="16">
        <v>45</v>
      </c>
      <c r="F157" s="17">
        <v>0.037841519715431766</v>
      </c>
      <c r="G157" s="16">
        <f>1437553.68/1189.17*E157</f>
        <v>54399.2159237115</v>
      </c>
      <c r="H157" s="16">
        <f>631823.09/1189.17*E157+G157*1%</f>
        <v>24453.138076137137</v>
      </c>
      <c r="I157" s="16">
        <f t="shared" si="17"/>
        <v>29946.07784757436</v>
      </c>
      <c r="J157" s="18"/>
    </row>
    <row r="158" spans="1:10" ht="15.75" customHeight="1">
      <c r="A158" s="52">
        <v>146</v>
      </c>
      <c r="B158" s="50" t="s">
        <v>29</v>
      </c>
      <c r="C158" s="51">
        <v>1966</v>
      </c>
      <c r="D158" s="44">
        <v>17</v>
      </c>
      <c r="E158" s="16">
        <v>30.6</v>
      </c>
      <c r="F158" s="17">
        <v>0.023932426091037073</v>
      </c>
      <c r="G158" s="16">
        <f>1348497.45/1278.6*E158</f>
        <v>32272.815556076963</v>
      </c>
      <c r="H158" s="16">
        <f>565245.3/1278.6*E158+G158*1%</f>
        <v>13850.41952111685</v>
      </c>
      <c r="I158" s="16">
        <f t="shared" si="17"/>
        <v>18422.39603496011</v>
      </c>
      <c r="J158" s="18"/>
    </row>
    <row r="159" spans="1:10" ht="15.75" customHeight="1">
      <c r="A159" s="52">
        <v>147</v>
      </c>
      <c r="B159" s="50" t="s">
        <v>29</v>
      </c>
      <c r="C159" s="51">
        <v>1966</v>
      </c>
      <c r="D159" s="44">
        <v>27</v>
      </c>
      <c r="E159" s="16">
        <v>42.5</v>
      </c>
      <c r="F159" s="17">
        <v>0.033239480681995934</v>
      </c>
      <c r="G159" s="16">
        <f>1348497.45/1278.6*E159</f>
        <v>44823.35493899578</v>
      </c>
      <c r="H159" s="16">
        <f>565245.3/1278.6*E159+G159*1%</f>
        <v>19236.693779328958</v>
      </c>
      <c r="I159" s="16">
        <f t="shared" si="17"/>
        <v>25586.66115966682</v>
      </c>
      <c r="J159" s="18"/>
    </row>
    <row r="160" spans="1:10" ht="15.75" customHeight="1">
      <c r="A160" s="52">
        <v>148</v>
      </c>
      <c r="B160" s="50" t="s">
        <v>30</v>
      </c>
      <c r="C160" s="51">
        <v>1968</v>
      </c>
      <c r="D160" s="44">
        <v>70</v>
      </c>
      <c r="E160" s="16">
        <v>42.4</v>
      </c>
      <c r="F160" s="17">
        <v>0.013211192123138281</v>
      </c>
      <c r="G160" s="16">
        <f>2713067.7/3209.4*E160</f>
        <v>35842.85862778089</v>
      </c>
      <c r="H160" s="16">
        <f>1082966.21/3209.4*E160+G160*1%</f>
        <v>14665.703249454726</v>
      </c>
      <c r="I160" s="16">
        <f t="shared" si="17"/>
        <v>21177.15537832617</v>
      </c>
      <c r="J160" s="18"/>
    </row>
    <row r="161" spans="1:10" ht="15.75" customHeight="1">
      <c r="A161" s="52">
        <v>149</v>
      </c>
      <c r="B161" s="50" t="s">
        <v>30</v>
      </c>
      <c r="C161" s="51">
        <v>1968</v>
      </c>
      <c r="D161" s="44">
        <v>76</v>
      </c>
      <c r="E161" s="16">
        <v>31</v>
      </c>
      <c r="F161" s="17">
        <v>0.009659126316445442</v>
      </c>
      <c r="G161" s="16">
        <f>2713067.7/3209.4*E161</f>
        <v>26205.863619368105</v>
      </c>
      <c r="H161" s="16">
        <f>1082966.21/3209.4*E161+G161*1%</f>
        <v>10722.56605502586</v>
      </c>
      <c r="I161" s="16">
        <f t="shared" si="17"/>
        <v>15483.297564342245</v>
      </c>
      <c r="J161" s="18"/>
    </row>
    <row r="162" spans="1:10" ht="15.75" customHeight="1">
      <c r="A162" s="52">
        <v>150</v>
      </c>
      <c r="B162" s="50" t="s">
        <v>31</v>
      </c>
      <c r="C162" s="51">
        <v>1972</v>
      </c>
      <c r="D162" s="44">
        <v>23</v>
      </c>
      <c r="E162" s="16">
        <v>44.1</v>
      </c>
      <c r="F162" s="17">
        <v>0.014743246857448516</v>
      </c>
      <c r="G162" s="16">
        <f>4002329/2991.2*E162</f>
        <v>59007.324451725064</v>
      </c>
      <c r="H162" s="16">
        <f>1210040.94/2991.2*E162+G162*1%</f>
        <v>18430.0055305563</v>
      </c>
      <c r="I162" s="16">
        <f t="shared" si="17"/>
        <v>40577.318921168764</v>
      </c>
      <c r="J162" s="18"/>
    </row>
    <row r="163" spans="1:10" ht="15.75" customHeight="1">
      <c r="A163" s="52">
        <v>151</v>
      </c>
      <c r="B163" s="50" t="s">
        <v>31</v>
      </c>
      <c r="C163" s="51">
        <v>1972</v>
      </c>
      <c r="D163" s="44">
        <v>29</v>
      </c>
      <c r="E163" s="16">
        <v>43.9</v>
      </c>
      <c r="F163" s="17">
        <v>0.014676384059909066</v>
      </c>
      <c r="G163" s="16">
        <f>4002329/2991.2*E163</f>
        <v>58739.71753811179</v>
      </c>
      <c r="H163" s="16">
        <f>1210040.94/2991.2*E163+G163*1%</f>
        <v>18346.4227390345</v>
      </c>
      <c r="I163" s="16">
        <f t="shared" si="17"/>
        <v>40393.294799077295</v>
      </c>
      <c r="J163" s="18"/>
    </row>
    <row r="164" spans="1:10" ht="15.75" customHeight="1">
      <c r="A164" s="52">
        <v>152</v>
      </c>
      <c r="B164" s="50" t="s">
        <v>32</v>
      </c>
      <c r="C164" s="51">
        <v>1976</v>
      </c>
      <c r="D164" s="44">
        <v>40</v>
      </c>
      <c r="E164" s="16">
        <v>28</v>
      </c>
      <c r="F164" s="17">
        <v>0.009090613941105809</v>
      </c>
      <c r="G164" s="16">
        <f>3855033/3080.1*E164</f>
        <v>35044.61673322295</v>
      </c>
      <c r="H164" s="16">
        <f>1009377.1/3080.1*E164+G164*1%</f>
        <v>9526.303704425181</v>
      </c>
      <c r="I164" s="16">
        <f t="shared" si="17"/>
        <v>25518.31302879777</v>
      </c>
      <c r="J164" s="18"/>
    </row>
    <row r="165" spans="1:10" ht="15.75" customHeight="1">
      <c r="A165" s="52">
        <v>153</v>
      </c>
      <c r="B165" s="50" t="s">
        <v>33</v>
      </c>
      <c r="C165" s="51">
        <v>1980</v>
      </c>
      <c r="D165" s="44">
        <v>74</v>
      </c>
      <c r="E165" s="16">
        <v>60.6</v>
      </c>
      <c r="F165" s="17">
        <f>1/6007.2*E165</f>
        <v>0.010087894526568117</v>
      </c>
      <c r="G165" s="16">
        <f>8009642.96/6007.2*E165</f>
        <v>80800.43337594887</v>
      </c>
      <c r="H165" s="16">
        <f>2242314.68/6007.2*E165+G165*1%</f>
        <v>23428.238320974833</v>
      </c>
      <c r="I165" s="16">
        <f t="shared" si="17"/>
        <v>57372.19505497403</v>
      </c>
      <c r="J165" s="18"/>
    </row>
    <row r="166" spans="1:10" ht="15.75" customHeight="1">
      <c r="A166" s="52">
        <v>154</v>
      </c>
      <c r="B166" s="50" t="s">
        <v>33</v>
      </c>
      <c r="C166" s="51">
        <v>1980</v>
      </c>
      <c r="D166" s="44">
        <v>124</v>
      </c>
      <c r="E166" s="16">
        <v>61.6</v>
      </c>
      <c r="F166" s="17">
        <f>1/6007.2*E166</f>
        <v>0.01025436143294713</v>
      </c>
      <c r="G166" s="16">
        <f>8009642.96/6007.2*E166</f>
        <v>82133.7738607005</v>
      </c>
      <c r="H166" s="16">
        <f>2242314.68/6007.2*E166+G166*1%</f>
        <v>23814.842913730194</v>
      </c>
      <c r="I166" s="16">
        <f aca="true" t="shared" si="18" ref="I166:I177">G166-H166</f>
        <v>58318.93094697031</v>
      </c>
      <c r="J166" s="18"/>
    </row>
    <row r="167" spans="1:10" ht="15.75" customHeight="1">
      <c r="A167" s="52">
        <v>155</v>
      </c>
      <c r="B167" s="50" t="s">
        <v>34</v>
      </c>
      <c r="C167" s="51">
        <v>1978</v>
      </c>
      <c r="D167" s="44">
        <v>91</v>
      </c>
      <c r="E167" s="16">
        <v>48.1</v>
      </c>
      <c r="F167" s="17">
        <f>1/6006.45*E167</f>
        <v>0.008008058004312032</v>
      </c>
      <c r="G167" s="16">
        <f>6823744.96/6006.45*E167</f>
        <v>54644.94544631188</v>
      </c>
      <c r="H167" s="16">
        <f>1974577.89/6006.45*E167+G167*1%</f>
        <v>16358.983731615182</v>
      </c>
      <c r="I167" s="16">
        <f t="shared" si="18"/>
        <v>38285.9617146967</v>
      </c>
      <c r="J167" s="18"/>
    </row>
    <row r="168" spans="1:10" ht="15.75" customHeight="1">
      <c r="A168" s="52">
        <v>156</v>
      </c>
      <c r="B168" s="50" t="s">
        <v>35</v>
      </c>
      <c r="C168" s="51">
        <v>1993</v>
      </c>
      <c r="D168" s="44">
        <v>34</v>
      </c>
      <c r="E168" s="16">
        <v>58.5</v>
      </c>
      <c r="F168" s="17">
        <v>0.011975189863052956</v>
      </c>
      <c r="G168" s="16">
        <f>5506590.18/4885.1*E168</f>
        <v>65942.46290352294</v>
      </c>
      <c r="H168" s="16">
        <f>986597.71/4885.1*E168+G168*1%</f>
        <v>12474.11952473849</v>
      </c>
      <c r="I168" s="16">
        <f t="shared" si="18"/>
        <v>53468.343378784455</v>
      </c>
      <c r="J168" s="18"/>
    </row>
    <row r="169" spans="1:10" ht="15.75" customHeight="1">
      <c r="A169" s="52">
        <v>157</v>
      </c>
      <c r="B169" s="50" t="s">
        <v>35</v>
      </c>
      <c r="C169" s="51">
        <v>1993</v>
      </c>
      <c r="D169" s="44">
        <v>46</v>
      </c>
      <c r="E169" s="16">
        <v>55.3</v>
      </c>
      <c r="F169" s="17">
        <v>0.011320136742338947</v>
      </c>
      <c r="G169" s="16">
        <f>5506590.18/4885.1*E169</f>
        <v>62335.35382162083</v>
      </c>
      <c r="H169" s="16">
        <f>986597.71/4885.1*E169+G169*1%</f>
        <v>11791.774525094674</v>
      </c>
      <c r="I169" s="16">
        <f t="shared" si="18"/>
        <v>50543.57929652616</v>
      </c>
      <c r="J169" s="18"/>
    </row>
    <row r="170" spans="1:10" ht="15.75" customHeight="1">
      <c r="A170" s="52">
        <v>158</v>
      </c>
      <c r="B170" s="50" t="s">
        <v>35</v>
      </c>
      <c r="C170" s="51">
        <v>1993</v>
      </c>
      <c r="D170" s="44">
        <v>70</v>
      </c>
      <c r="E170" s="16">
        <v>58.1</v>
      </c>
      <c r="F170" s="17">
        <v>0.011893308222963705</v>
      </c>
      <c r="G170" s="16">
        <f>5506590.18/4885.1*E170</f>
        <v>65491.574268285185</v>
      </c>
      <c r="H170" s="16">
        <f>986597.71/4885.1*E170+G170*1%</f>
        <v>12388.826399783013</v>
      </c>
      <c r="I170" s="16">
        <f t="shared" si="18"/>
        <v>53102.74786850217</v>
      </c>
      <c r="J170" s="18"/>
    </row>
    <row r="171" spans="1:10" ht="15.75" customHeight="1">
      <c r="A171" s="52">
        <v>159</v>
      </c>
      <c r="B171" s="50" t="s">
        <v>36</v>
      </c>
      <c r="C171" s="51">
        <v>1993</v>
      </c>
      <c r="D171" s="44">
        <v>15</v>
      </c>
      <c r="E171" s="16">
        <v>69.3</v>
      </c>
      <c r="F171" s="17">
        <v>0.02211238708483435</v>
      </c>
      <c r="G171" s="16">
        <f>3770783.53/3133.99*E171</f>
        <v>83381.02502847808</v>
      </c>
      <c r="H171" s="16">
        <f>675598.76/3133.99*E171+G171*1%</f>
        <v>15772.911545438883</v>
      </c>
      <c r="I171" s="16">
        <f t="shared" si="18"/>
        <v>67608.1134830392</v>
      </c>
      <c r="J171" s="18"/>
    </row>
    <row r="172" spans="1:10" ht="15.75" customHeight="1">
      <c r="A172" s="52">
        <v>160</v>
      </c>
      <c r="B172" s="50" t="s">
        <v>36</v>
      </c>
      <c r="C172" s="51">
        <v>1993</v>
      </c>
      <c r="D172" s="44">
        <v>58</v>
      </c>
      <c r="E172" s="16">
        <v>69.7</v>
      </c>
      <c r="F172" s="17">
        <v>0.022240019910720842</v>
      </c>
      <c r="G172" s="16">
        <f>3770783.53/3133.99*E172</f>
        <v>83862.30078621821</v>
      </c>
      <c r="H172" s="16">
        <f>675598.76/3133.99*E172+G172*1%</f>
        <v>15863.952881920493</v>
      </c>
      <c r="I172" s="16">
        <f t="shared" si="18"/>
        <v>67998.34790429773</v>
      </c>
      <c r="J172" s="18"/>
    </row>
    <row r="173" spans="1:10" ht="15.75" customHeight="1">
      <c r="A173" s="52">
        <v>161</v>
      </c>
      <c r="B173" s="30" t="s">
        <v>90</v>
      </c>
      <c r="C173" s="29">
        <v>1917</v>
      </c>
      <c r="D173" s="40">
        <v>4</v>
      </c>
      <c r="E173" s="16">
        <v>20.7</v>
      </c>
      <c r="F173" s="19">
        <v>0.1375</v>
      </c>
      <c r="G173" s="16">
        <f>158749.39/150.6*E173</f>
        <v>21820.135278884463</v>
      </c>
      <c r="H173" s="16">
        <f>158749.39/150.6*E173</f>
        <v>21820.135278884463</v>
      </c>
      <c r="I173" s="16">
        <f t="shared" si="18"/>
        <v>0</v>
      </c>
      <c r="J173" s="18"/>
    </row>
    <row r="174" spans="1:10" ht="15.75" customHeight="1">
      <c r="A174" s="52">
        <v>162</v>
      </c>
      <c r="B174" s="30" t="s">
        <v>126</v>
      </c>
      <c r="C174" s="29">
        <v>1990</v>
      </c>
      <c r="D174" s="44">
        <v>1</v>
      </c>
      <c r="E174" s="16">
        <v>78.7</v>
      </c>
      <c r="F174" s="17">
        <v>0.050351887396033274</v>
      </c>
      <c r="G174" s="16">
        <f>1778846/1563*E174</f>
        <v>89568.2534868842</v>
      </c>
      <c r="H174" s="16">
        <f>252176.39/1563*E174+G174*1%</f>
        <v>13593.239728087014</v>
      </c>
      <c r="I174" s="16">
        <f t="shared" si="18"/>
        <v>75975.0137587972</v>
      </c>
      <c r="J174" s="18"/>
    </row>
    <row r="175" spans="1:10" ht="15.75" customHeight="1">
      <c r="A175" s="52">
        <v>163</v>
      </c>
      <c r="B175" s="30" t="s">
        <v>162</v>
      </c>
      <c r="C175" s="29">
        <v>1998</v>
      </c>
      <c r="D175" s="44">
        <v>3</v>
      </c>
      <c r="E175" s="16">
        <v>52.3</v>
      </c>
      <c r="F175" s="17">
        <v>0.0122</v>
      </c>
      <c r="G175" s="16">
        <f>27179214/4287.5*E175</f>
        <v>331538.8669854227</v>
      </c>
      <c r="H175" s="16">
        <f aca="true" t="shared" si="19" ref="H175:H185">3201983.77/4287.5*E175+G175*1%</f>
        <v>42373.989526064135</v>
      </c>
      <c r="I175" s="16">
        <f>G175-H175</f>
        <v>289164.87745935854</v>
      </c>
      <c r="J175" s="18"/>
    </row>
    <row r="176" spans="1:10" ht="15.75" customHeight="1">
      <c r="A176" s="52">
        <v>164</v>
      </c>
      <c r="B176" s="30" t="s">
        <v>162</v>
      </c>
      <c r="C176" s="29">
        <v>1998</v>
      </c>
      <c r="D176" s="44">
        <v>4</v>
      </c>
      <c r="E176" s="16">
        <v>72.7</v>
      </c>
      <c r="F176" s="17">
        <v>0.017</v>
      </c>
      <c r="G176" s="16">
        <f>27179214/4287.5*E176</f>
        <v>460858.04263556853</v>
      </c>
      <c r="H176" s="16">
        <f t="shared" si="19"/>
        <v>58902.276071603505</v>
      </c>
      <c r="I176" s="16">
        <f>G176-H176</f>
        <v>401955.766563965</v>
      </c>
      <c r="J176" s="18"/>
    </row>
    <row r="177" spans="1:10" ht="15.75" customHeight="1">
      <c r="A177" s="52">
        <v>165</v>
      </c>
      <c r="B177" s="30" t="s">
        <v>162</v>
      </c>
      <c r="C177" s="29">
        <v>1998</v>
      </c>
      <c r="D177" s="44">
        <v>13</v>
      </c>
      <c r="E177" s="16">
        <v>71.8</v>
      </c>
      <c r="F177" s="17">
        <v>0.0167</v>
      </c>
      <c r="G177" s="16">
        <f aca="true" t="shared" si="20" ref="G177:G185">27179214/4287.5*E177</f>
        <v>455152.7848862973</v>
      </c>
      <c r="H177" s="16">
        <f t="shared" si="19"/>
        <v>58173.086959300286</v>
      </c>
      <c r="I177" s="16">
        <f t="shared" si="18"/>
        <v>396979.69792699703</v>
      </c>
      <c r="J177" s="18"/>
    </row>
    <row r="178" spans="1:10" ht="15.75" customHeight="1">
      <c r="A178" s="52">
        <v>166</v>
      </c>
      <c r="B178" s="30" t="s">
        <v>162</v>
      </c>
      <c r="C178" s="29">
        <v>1998</v>
      </c>
      <c r="D178" s="44">
        <v>30</v>
      </c>
      <c r="E178" s="16">
        <v>34.9</v>
      </c>
      <c r="F178" s="17">
        <v>0.0081</v>
      </c>
      <c r="G178" s="16">
        <f t="shared" si="20"/>
        <v>221237.21716618072</v>
      </c>
      <c r="H178" s="16">
        <f t="shared" si="19"/>
        <v>28276.333354868802</v>
      </c>
      <c r="I178" s="16">
        <f aca="true" t="shared" si="21" ref="I178:I191">G178-H178</f>
        <v>192960.8838113119</v>
      </c>
      <c r="J178" s="18"/>
    </row>
    <row r="179" spans="1:10" ht="15.75" customHeight="1">
      <c r="A179" s="52">
        <v>167</v>
      </c>
      <c r="B179" s="30" t="s">
        <v>162</v>
      </c>
      <c r="C179" s="29">
        <v>1998</v>
      </c>
      <c r="D179" s="44">
        <v>31</v>
      </c>
      <c r="E179" s="16">
        <v>35</v>
      </c>
      <c r="F179" s="17">
        <v>0.0082</v>
      </c>
      <c r="G179" s="16">
        <f t="shared" si="20"/>
        <v>221871.13469387754</v>
      </c>
      <c r="H179" s="16">
        <f t="shared" si="19"/>
        <v>28357.35436734694</v>
      </c>
      <c r="I179" s="16">
        <f t="shared" si="21"/>
        <v>193513.7803265306</v>
      </c>
      <c r="J179" s="18"/>
    </row>
    <row r="180" spans="1:10" ht="15.75" customHeight="1">
      <c r="A180" s="52">
        <v>168</v>
      </c>
      <c r="B180" s="30" t="s">
        <v>162</v>
      </c>
      <c r="C180" s="29">
        <v>1998</v>
      </c>
      <c r="D180" s="44">
        <v>33</v>
      </c>
      <c r="E180" s="16">
        <v>54.2</v>
      </c>
      <c r="F180" s="17">
        <v>0.0126</v>
      </c>
      <c r="G180" s="16">
        <f t="shared" si="20"/>
        <v>343583.30001166184</v>
      </c>
      <c r="H180" s="16">
        <f t="shared" si="19"/>
        <v>43913.388763148694</v>
      </c>
      <c r="I180" s="16">
        <f t="shared" si="21"/>
        <v>299669.91124851315</v>
      </c>
      <c r="J180" s="18"/>
    </row>
    <row r="181" spans="1:10" ht="15.75" customHeight="1">
      <c r="A181" s="52">
        <v>169</v>
      </c>
      <c r="B181" s="30" t="s">
        <v>162</v>
      </c>
      <c r="C181" s="29">
        <v>1998</v>
      </c>
      <c r="D181" s="44">
        <v>47</v>
      </c>
      <c r="E181" s="16">
        <v>96.9</v>
      </c>
      <c r="F181" s="17">
        <v>0.0226</v>
      </c>
      <c r="G181" s="16">
        <f t="shared" si="20"/>
        <v>614266.0843381925</v>
      </c>
      <c r="H181" s="16">
        <f t="shared" si="19"/>
        <v>78509.36109131196</v>
      </c>
      <c r="I181" s="16">
        <f t="shared" si="21"/>
        <v>535756.7232468806</v>
      </c>
      <c r="J181" s="18"/>
    </row>
    <row r="182" spans="1:10" ht="15.75" customHeight="1">
      <c r="A182" s="52">
        <v>170</v>
      </c>
      <c r="B182" s="30" t="s">
        <v>162</v>
      </c>
      <c r="C182" s="29">
        <v>1998</v>
      </c>
      <c r="D182" s="44">
        <v>57</v>
      </c>
      <c r="E182" s="16">
        <v>53.3</v>
      </c>
      <c r="F182" s="17">
        <v>0.0124</v>
      </c>
      <c r="G182" s="16">
        <f t="shared" si="20"/>
        <v>337878.0422623906</v>
      </c>
      <c r="H182" s="16">
        <f t="shared" si="19"/>
        <v>43184.199650845476</v>
      </c>
      <c r="I182" s="16">
        <f t="shared" si="21"/>
        <v>294693.8426115451</v>
      </c>
      <c r="J182" s="18"/>
    </row>
    <row r="183" spans="1:10" ht="15.75" customHeight="1">
      <c r="A183" s="52">
        <v>171</v>
      </c>
      <c r="B183" s="30" t="s">
        <v>162</v>
      </c>
      <c r="C183" s="29">
        <v>1998</v>
      </c>
      <c r="D183" s="44">
        <v>64</v>
      </c>
      <c r="E183" s="16">
        <v>71.9</v>
      </c>
      <c r="F183" s="17">
        <v>0.0168</v>
      </c>
      <c r="G183" s="16">
        <f t="shared" si="20"/>
        <v>455786.7024139942</v>
      </c>
      <c r="H183" s="16">
        <f t="shared" si="19"/>
        <v>58254.10797177844</v>
      </c>
      <c r="I183" s="16">
        <f t="shared" si="21"/>
        <v>397532.59444221575</v>
      </c>
      <c r="J183" s="18"/>
    </row>
    <row r="184" spans="1:10" ht="15.75" customHeight="1">
      <c r="A184" s="52">
        <v>172</v>
      </c>
      <c r="B184" s="30" t="s">
        <v>162</v>
      </c>
      <c r="C184" s="29">
        <v>1998</v>
      </c>
      <c r="D184" s="44">
        <v>66</v>
      </c>
      <c r="E184" s="16">
        <v>51.8</v>
      </c>
      <c r="F184" s="17">
        <v>0.0121</v>
      </c>
      <c r="G184" s="16">
        <f t="shared" si="20"/>
        <v>328369.2793469387</v>
      </c>
      <c r="H184" s="16">
        <f t="shared" si="19"/>
        <v>41968.88446367347</v>
      </c>
      <c r="I184" s="16">
        <f t="shared" si="21"/>
        <v>286400.39488326525</v>
      </c>
      <c r="J184" s="18"/>
    </row>
    <row r="185" spans="1:10" ht="15.75" customHeight="1">
      <c r="A185" s="52">
        <v>173</v>
      </c>
      <c r="B185" s="30" t="s">
        <v>162</v>
      </c>
      <c r="C185" s="29">
        <v>1998</v>
      </c>
      <c r="D185" s="40">
        <v>70</v>
      </c>
      <c r="E185" s="16">
        <v>51.8</v>
      </c>
      <c r="F185" s="17">
        <v>0.0121</v>
      </c>
      <c r="G185" s="16">
        <f t="shared" si="20"/>
        <v>328369.2793469387</v>
      </c>
      <c r="H185" s="16">
        <f t="shared" si="19"/>
        <v>41968.88446367347</v>
      </c>
      <c r="I185" s="16">
        <f t="shared" si="21"/>
        <v>286400.39488326525</v>
      </c>
      <c r="J185" s="18"/>
    </row>
    <row r="186" spans="1:10" ht="15.75" customHeight="1">
      <c r="A186" s="52">
        <v>174</v>
      </c>
      <c r="B186" s="30" t="s">
        <v>91</v>
      </c>
      <c r="C186" s="29">
        <v>1917</v>
      </c>
      <c r="D186" s="40">
        <v>4</v>
      </c>
      <c r="E186" s="16">
        <v>16.1</v>
      </c>
      <c r="F186" s="19">
        <v>0.1779</v>
      </c>
      <c r="G186" s="16">
        <f>77115.52/90.5*E186</f>
        <v>13718.89361325967</v>
      </c>
      <c r="H186" s="16">
        <f>77115.52/90.5*E186</f>
        <v>13718.89361325967</v>
      </c>
      <c r="I186" s="16">
        <f t="shared" si="21"/>
        <v>0</v>
      </c>
      <c r="J186" s="18"/>
    </row>
    <row r="187" spans="1:10" ht="15.75" customHeight="1">
      <c r="A187" s="52">
        <v>175</v>
      </c>
      <c r="B187" s="30" t="s">
        <v>203</v>
      </c>
      <c r="C187" s="29">
        <v>1924</v>
      </c>
      <c r="D187" s="44">
        <v>3</v>
      </c>
      <c r="E187" s="16">
        <v>34.7</v>
      </c>
      <c r="F187" s="19">
        <v>0.407</v>
      </c>
      <c r="G187" s="16">
        <v>19376.88</v>
      </c>
      <c r="H187" s="16">
        <v>12982.51</v>
      </c>
      <c r="I187" s="16">
        <f t="shared" si="21"/>
        <v>6394.370000000001</v>
      </c>
      <c r="J187" s="18"/>
    </row>
    <row r="188" spans="1:10" ht="15.75" customHeight="1">
      <c r="A188" s="52">
        <v>176</v>
      </c>
      <c r="B188" s="30" t="s">
        <v>132</v>
      </c>
      <c r="C188" s="29">
        <v>1982</v>
      </c>
      <c r="D188" s="44">
        <v>19</v>
      </c>
      <c r="E188" s="16">
        <v>61.1</v>
      </c>
      <c r="F188" s="17">
        <v>0.015964006521466494</v>
      </c>
      <c r="G188" s="16">
        <f>6134659/3827.36*E188</f>
        <v>97933.73628297311</v>
      </c>
      <c r="H188" s="16">
        <f>3143168.18/3827.36*E188+G188*1%</f>
        <v>51156.894686415704</v>
      </c>
      <c r="I188" s="16">
        <f t="shared" si="21"/>
        <v>46776.84159655741</v>
      </c>
      <c r="J188" s="18"/>
    </row>
    <row r="189" spans="1:10" ht="15.75" customHeight="1">
      <c r="A189" s="52">
        <v>177</v>
      </c>
      <c r="B189" s="30" t="s">
        <v>133</v>
      </c>
      <c r="C189" s="29">
        <v>1995</v>
      </c>
      <c r="D189" s="44">
        <v>15</v>
      </c>
      <c r="E189" s="16">
        <v>47.9</v>
      </c>
      <c r="F189" s="17">
        <v>0.011922422118457602</v>
      </c>
      <c r="G189" s="16">
        <f aca="true" t="shared" si="22" ref="G189:G196">5970205/4017.64*E189</f>
        <v>71179.30414372617</v>
      </c>
      <c r="H189" s="16">
        <f>3049399.19/4017.64*E189+G189*1%</f>
        <v>37068.01739229996</v>
      </c>
      <c r="I189" s="16">
        <f t="shared" si="21"/>
        <v>34111.28675142621</v>
      </c>
      <c r="J189" s="18"/>
    </row>
    <row r="190" spans="1:10" ht="15.75" customHeight="1">
      <c r="A190" s="52">
        <v>178</v>
      </c>
      <c r="B190" s="30" t="s">
        <v>133</v>
      </c>
      <c r="C190" s="29">
        <v>1995</v>
      </c>
      <c r="D190" s="44">
        <v>21</v>
      </c>
      <c r="E190" s="16">
        <v>19</v>
      </c>
      <c r="F190" s="17">
        <v>0.004729144472874623</v>
      </c>
      <c r="G190" s="16">
        <f t="shared" si="22"/>
        <v>28233.96197767844</v>
      </c>
      <c r="H190" s="16">
        <f aca="true" t="shared" si="23" ref="H190:H196">3049399.19/4017.64*E190+G190*1%</f>
        <v>14703.388944753638</v>
      </c>
      <c r="I190" s="16">
        <f t="shared" si="21"/>
        <v>13530.5730329248</v>
      </c>
      <c r="J190" s="18"/>
    </row>
    <row r="191" spans="1:10" ht="15.75" customHeight="1">
      <c r="A191" s="52">
        <v>179</v>
      </c>
      <c r="B191" s="30" t="s">
        <v>133</v>
      </c>
      <c r="C191" s="29">
        <v>1995</v>
      </c>
      <c r="D191" s="44">
        <v>21</v>
      </c>
      <c r="E191" s="16">
        <v>38.1</v>
      </c>
      <c r="F191" s="17">
        <v>0.009483179179817008</v>
      </c>
      <c r="G191" s="16">
        <f t="shared" si="22"/>
        <v>56616.523755239396</v>
      </c>
      <c r="H191" s="16">
        <f t="shared" si="23"/>
        <v>29484.164147111245</v>
      </c>
      <c r="I191" s="16">
        <f t="shared" si="21"/>
        <v>27132.35960812815</v>
      </c>
      <c r="J191" s="18"/>
    </row>
    <row r="192" spans="1:10" ht="15.75" customHeight="1">
      <c r="A192" s="52">
        <v>180</v>
      </c>
      <c r="B192" s="30" t="s">
        <v>133</v>
      </c>
      <c r="C192" s="29">
        <v>1995</v>
      </c>
      <c r="D192" s="44">
        <v>57</v>
      </c>
      <c r="E192" s="16">
        <v>57.8</v>
      </c>
      <c r="F192" s="17">
        <v>0.014386555291165958</v>
      </c>
      <c r="G192" s="16">
        <f t="shared" si="22"/>
        <v>85890.68433209545</v>
      </c>
      <c r="H192" s="16">
        <f t="shared" si="23"/>
        <v>44729.25689509264</v>
      </c>
      <c r="I192" s="16">
        <f aca="true" t="shared" si="24" ref="I192:I205">G192-H192</f>
        <v>41161.42743700281</v>
      </c>
      <c r="J192" s="18"/>
    </row>
    <row r="193" spans="1:10" ht="15.75" customHeight="1">
      <c r="A193" s="52">
        <v>181</v>
      </c>
      <c r="B193" s="30" t="s">
        <v>133</v>
      </c>
      <c r="C193" s="29">
        <v>1995</v>
      </c>
      <c r="D193" s="44">
        <v>61</v>
      </c>
      <c r="E193" s="16">
        <v>43.6</v>
      </c>
      <c r="F193" s="17">
        <v>0.010852142053543873</v>
      </c>
      <c r="G193" s="16">
        <f t="shared" si="22"/>
        <v>64789.512748777895</v>
      </c>
      <c r="H193" s="16">
        <f t="shared" si="23"/>
        <v>33740.4083153294</v>
      </c>
      <c r="I193" s="16">
        <f t="shared" si="24"/>
        <v>31049.104433448498</v>
      </c>
      <c r="J193" s="18"/>
    </row>
    <row r="194" spans="1:10" ht="15.75" customHeight="1">
      <c r="A194" s="52">
        <v>182</v>
      </c>
      <c r="B194" s="30" t="s">
        <v>133</v>
      </c>
      <c r="C194" s="29">
        <v>1995</v>
      </c>
      <c r="D194" s="44">
        <v>77</v>
      </c>
      <c r="E194" s="16">
        <v>32.1</v>
      </c>
      <c r="F194" s="17">
        <v>0.007989765135751337</v>
      </c>
      <c r="G194" s="16">
        <f t="shared" si="22"/>
        <v>47700.53576228831</v>
      </c>
      <c r="H194" s="16">
        <f t="shared" si="23"/>
        <v>24840.98869087325</v>
      </c>
      <c r="I194" s="16">
        <f t="shared" si="24"/>
        <v>22859.547071415058</v>
      </c>
      <c r="J194" s="18"/>
    </row>
    <row r="195" spans="1:10" ht="15.75" customHeight="1">
      <c r="A195" s="52">
        <v>183</v>
      </c>
      <c r="B195" s="30" t="s">
        <v>133</v>
      </c>
      <c r="C195" s="29">
        <v>1995</v>
      </c>
      <c r="D195" s="44">
        <v>81</v>
      </c>
      <c r="E195" s="16">
        <v>57.2</v>
      </c>
      <c r="F195" s="17">
        <v>0.014237213886759392</v>
      </c>
      <c r="G195" s="16">
        <f t="shared" si="22"/>
        <v>84999.08553280035</v>
      </c>
      <c r="H195" s="16">
        <f t="shared" si="23"/>
        <v>44264.93934946885</v>
      </c>
      <c r="I195" s="16">
        <f t="shared" si="24"/>
        <v>40734.146183331504</v>
      </c>
      <c r="J195" s="18"/>
    </row>
    <row r="196" spans="1:10" ht="15.75" customHeight="1">
      <c r="A196" s="52">
        <v>184</v>
      </c>
      <c r="B196" s="30" t="s">
        <v>133</v>
      </c>
      <c r="C196" s="29">
        <v>1995</v>
      </c>
      <c r="D196" s="44">
        <v>85</v>
      </c>
      <c r="E196" s="16">
        <v>45.7</v>
      </c>
      <c r="F196" s="17">
        <v>0.011374836968966857</v>
      </c>
      <c r="G196" s="16">
        <f t="shared" si="22"/>
        <v>67910.10854631077</v>
      </c>
      <c r="H196" s="16">
        <f t="shared" si="23"/>
        <v>35365.5197250127</v>
      </c>
      <c r="I196" s="16">
        <f t="shared" si="24"/>
        <v>32544.58882129807</v>
      </c>
      <c r="J196" s="18"/>
    </row>
    <row r="197" spans="1:10" ht="15.75" customHeight="1">
      <c r="A197" s="52">
        <v>185</v>
      </c>
      <c r="B197" s="30" t="s">
        <v>134</v>
      </c>
      <c r="C197" s="29">
        <v>1970</v>
      </c>
      <c r="D197" s="44">
        <v>19</v>
      </c>
      <c r="E197" s="16">
        <v>27.5</v>
      </c>
      <c r="F197" s="17">
        <f>1/4319.04*E197</f>
        <v>0.006367155664221679</v>
      </c>
      <c r="G197" s="16">
        <f>3142430.05/4319.04*E197</f>
        <v>20008.34129227791</v>
      </c>
      <c r="H197" s="16">
        <f>1151161.51/4319.04*E197+G197*1%</f>
        <v>7529.70794175326</v>
      </c>
      <c r="I197" s="16">
        <f t="shared" si="24"/>
        <v>12478.633350524651</v>
      </c>
      <c r="J197" s="18"/>
    </row>
    <row r="198" spans="1:10" ht="15.75" customHeight="1">
      <c r="A198" s="52">
        <v>186</v>
      </c>
      <c r="B198" s="30" t="s">
        <v>135</v>
      </c>
      <c r="C198" s="29">
        <v>1971</v>
      </c>
      <c r="D198" s="44">
        <v>38</v>
      </c>
      <c r="E198" s="16">
        <v>44.6</v>
      </c>
      <c r="F198" s="17">
        <f>1/4312.4*E198</f>
        <v>0.01034226880623319</v>
      </c>
      <c r="G198" s="16">
        <f>3376898.1/4312.4*E198</f>
        <v>34924.78788145813</v>
      </c>
      <c r="H198" s="16">
        <f>1253895/4312.4*E198+G198*1%</f>
        <v>13317.367023606346</v>
      </c>
      <c r="I198" s="16">
        <f t="shared" si="24"/>
        <v>21607.42085785178</v>
      </c>
      <c r="J198" s="18"/>
    </row>
    <row r="199" spans="1:10" ht="15.75" customHeight="1">
      <c r="A199" s="52">
        <v>187</v>
      </c>
      <c r="B199" s="30" t="s">
        <v>135</v>
      </c>
      <c r="C199" s="29">
        <v>1971</v>
      </c>
      <c r="D199" s="44">
        <v>72</v>
      </c>
      <c r="E199" s="16">
        <v>47.8</v>
      </c>
      <c r="F199" s="17">
        <f>1/4312.4*E199</f>
        <v>0.011084314998608664</v>
      </c>
      <c r="G199" s="16">
        <f>3376898.1/4312.4*E199</f>
        <v>37430.6022586031</v>
      </c>
      <c r="H199" s="16">
        <f>1253895/4312.4*E199+G199*1%</f>
        <v>14272.873177766442</v>
      </c>
      <c r="I199" s="16">
        <f t="shared" si="24"/>
        <v>23157.72908083666</v>
      </c>
      <c r="J199" s="18"/>
    </row>
    <row r="200" spans="1:10" ht="15.75" customHeight="1">
      <c r="A200" s="52">
        <v>188</v>
      </c>
      <c r="B200" s="30" t="s">
        <v>136</v>
      </c>
      <c r="C200" s="29">
        <v>1983</v>
      </c>
      <c r="D200" s="44">
        <v>55</v>
      </c>
      <c r="E200" s="16">
        <v>50.6</v>
      </c>
      <c r="F200" s="17">
        <v>0.009711532925167457</v>
      </c>
      <c r="G200" s="16">
        <f>7663897.44/5210.3*E200</f>
        <v>74428.19232366659</v>
      </c>
      <c r="H200" s="16">
        <f>1847898.18/5210.3*E200+G200*1%</f>
        <v>18690.205940663684</v>
      </c>
      <c r="I200" s="16">
        <f t="shared" si="24"/>
        <v>55737.986383002906</v>
      </c>
      <c r="J200" s="18"/>
    </row>
    <row r="201" spans="1:10" ht="15.75" customHeight="1">
      <c r="A201" s="52">
        <v>189</v>
      </c>
      <c r="B201" s="30" t="s">
        <v>137</v>
      </c>
      <c r="C201" s="29">
        <v>1974</v>
      </c>
      <c r="D201" s="44">
        <v>82</v>
      </c>
      <c r="E201" s="16">
        <v>27.8</v>
      </c>
      <c r="F201" s="17">
        <v>0.007210665559993775</v>
      </c>
      <c r="G201" s="16">
        <f>4280458.95/3855.4*E201</f>
        <v>30864.95793173212</v>
      </c>
      <c r="H201" s="16">
        <f>1422070.1/3855.4*E201+G201*1%</f>
        <v>10562.721473284228</v>
      </c>
      <c r="I201" s="16">
        <f t="shared" si="24"/>
        <v>20302.236458447893</v>
      </c>
      <c r="J201" s="18"/>
    </row>
    <row r="202" spans="1:10" ht="15.75" customHeight="1">
      <c r="A202" s="52">
        <v>190</v>
      </c>
      <c r="B202" s="30" t="s">
        <v>138</v>
      </c>
      <c r="C202" s="29">
        <v>1982</v>
      </c>
      <c r="D202" s="44">
        <v>7</v>
      </c>
      <c r="E202" s="16">
        <v>51.2</v>
      </c>
      <c r="F202" s="17">
        <v>0.013403843133148333</v>
      </c>
      <c r="G202" s="16">
        <f>1368935/3819.8*E202</f>
        <v>18348.989999476413</v>
      </c>
      <c r="H202" s="16">
        <f>290328/3819.8*E202+G202*1%</f>
        <v>4075.0008691554526</v>
      </c>
      <c r="I202" s="16">
        <f t="shared" si="24"/>
        <v>14273.98913032096</v>
      </c>
      <c r="J202" s="18"/>
    </row>
    <row r="203" spans="1:10" ht="15.75" customHeight="1">
      <c r="A203" s="52">
        <v>191</v>
      </c>
      <c r="B203" s="30" t="s">
        <v>138</v>
      </c>
      <c r="C203" s="29">
        <v>1982</v>
      </c>
      <c r="D203" s="44">
        <v>26</v>
      </c>
      <c r="E203" s="16">
        <v>50.2</v>
      </c>
      <c r="F203" s="17">
        <v>0.013142049321954029</v>
      </c>
      <c r="G203" s="16">
        <f>1368935/3819.8*E203</f>
        <v>17990.61128854914</v>
      </c>
      <c r="H203" s="16">
        <f>290328/3819.8*E203+G203*1%</f>
        <v>3995.4110084297604</v>
      </c>
      <c r="I203" s="16">
        <f t="shared" si="24"/>
        <v>13995.200280119378</v>
      </c>
      <c r="J203" s="18"/>
    </row>
    <row r="204" spans="1:10" ht="15.75" customHeight="1">
      <c r="A204" s="52">
        <v>192</v>
      </c>
      <c r="B204" s="30" t="s">
        <v>138</v>
      </c>
      <c r="C204" s="29">
        <v>1982</v>
      </c>
      <c r="D204" s="44">
        <v>62</v>
      </c>
      <c r="E204" s="16">
        <v>58.9</v>
      </c>
      <c r="F204" s="17">
        <v>0.015419655479344468</v>
      </c>
      <c r="G204" s="16">
        <f>1368935/3819.8*E204</f>
        <v>21108.50607361642</v>
      </c>
      <c r="H204" s="16">
        <f>290328/3819.8*E204+G204*1%</f>
        <v>4687.842796743284</v>
      </c>
      <c r="I204" s="16">
        <f t="shared" si="24"/>
        <v>16420.663276873136</v>
      </c>
      <c r="J204" s="18"/>
    </row>
    <row r="205" spans="1:10" ht="15.75" customHeight="1">
      <c r="A205" s="52">
        <v>193</v>
      </c>
      <c r="B205" s="30" t="s">
        <v>139</v>
      </c>
      <c r="C205" s="29">
        <v>1973</v>
      </c>
      <c r="D205" s="44">
        <v>5</v>
      </c>
      <c r="E205" s="16">
        <v>41.3</v>
      </c>
      <c r="F205" s="17">
        <v>0.01343460794040629</v>
      </c>
      <c r="G205" s="16">
        <f>3165521.85/3074.15*E205</f>
        <v>42527.54498153961</v>
      </c>
      <c r="H205" s="16">
        <f>1078915.07/3074.15*E205+G205*1%</f>
        <v>14920.076416261403</v>
      </c>
      <c r="I205" s="16">
        <f t="shared" si="24"/>
        <v>27607.46856527821</v>
      </c>
      <c r="J205" s="18"/>
    </row>
    <row r="206" spans="1:10" ht="15.75" customHeight="1">
      <c r="A206" s="52">
        <v>194</v>
      </c>
      <c r="B206" s="30" t="s">
        <v>139</v>
      </c>
      <c r="C206" s="29">
        <v>1973</v>
      </c>
      <c r="D206" s="44">
        <v>44</v>
      </c>
      <c r="E206" s="16">
        <v>44.4</v>
      </c>
      <c r="F206" s="17">
        <v>0.014443016768862936</v>
      </c>
      <c r="G206" s="16">
        <f>3165521.85/3074.15*E206</f>
        <v>45719.68516175203</v>
      </c>
      <c r="H206" s="16">
        <f>1078915.07/3074.15*E206+G206*1%</f>
        <v>16039.98529980645</v>
      </c>
      <c r="I206" s="16">
        <f aca="true" t="shared" si="25" ref="I206:I215">G206-H206</f>
        <v>29679.699861945577</v>
      </c>
      <c r="J206" s="18"/>
    </row>
    <row r="207" spans="1:10" ht="15.75" customHeight="1">
      <c r="A207" s="52">
        <v>195</v>
      </c>
      <c r="B207" s="30" t="s">
        <v>140</v>
      </c>
      <c r="C207" s="29">
        <v>1991</v>
      </c>
      <c r="D207" s="44">
        <v>16</v>
      </c>
      <c r="E207" s="16">
        <v>68.1</v>
      </c>
      <c r="F207" s="17">
        <v>0.014831043704755515</v>
      </c>
      <c r="G207" s="16">
        <f>5740079.73/4591.72*E207</f>
        <v>85131.37334441124</v>
      </c>
      <c r="H207" s="16">
        <f>918412.48/4591.72*E207+G207*1%</f>
        <v>14472.329363317012</v>
      </c>
      <c r="I207" s="16">
        <f t="shared" si="25"/>
        <v>70659.04398109423</v>
      </c>
      <c r="J207" s="18"/>
    </row>
    <row r="208" spans="1:10" ht="15.75" customHeight="1">
      <c r="A208" s="52">
        <v>196</v>
      </c>
      <c r="B208" s="30" t="s">
        <v>140</v>
      </c>
      <c r="C208" s="29">
        <v>1991</v>
      </c>
      <c r="D208" s="44">
        <v>76</v>
      </c>
      <c r="E208" s="16">
        <v>67.7</v>
      </c>
      <c r="F208" s="17">
        <v>0.01474393037903008</v>
      </c>
      <c r="G208" s="16">
        <f>5740079.73/4591.72*E208</f>
        <v>84631.33590920179</v>
      </c>
      <c r="H208" s="16">
        <f>918412.48/4591.72*E208+G208*1%</f>
        <v>14387.323023444373</v>
      </c>
      <c r="I208" s="16">
        <f t="shared" si="25"/>
        <v>70244.01288575742</v>
      </c>
      <c r="J208" s="18"/>
    </row>
    <row r="209" spans="1:10" ht="15.75" customHeight="1">
      <c r="A209" s="52">
        <v>197</v>
      </c>
      <c r="B209" s="30" t="s">
        <v>141</v>
      </c>
      <c r="C209" s="29">
        <v>1962</v>
      </c>
      <c r="D209" s="44">
        <v>3</v>
      </c>
      <c r="E209" s="16">
        <v>39.1</v>
      </c>
      <c r="F209" s="17">
        <v>0.13894811656005687</v>
      </c>
      <c r="G209" s="16">
        <f>185208/281.4*E209</f>
        <v>25734.30277185501</v>
      </c>
      <c r="H209" s="16">
        <f>110662.38/281.4*E209+G209*1%</f>
        <v>15633.672302771858</v>
      </c>
      <c r="I209" s="16">
        <f t="shared" si="25"/>
        <v>10100.630469083153</v>
      </c>
      <c r="J209" s="18"/>
    </row>
    <row r="210" spans="1:10" ht="15.75" customHeight="1">
      <c r="A210" s="52">
        <v>198</v>
      </c>
      <c r="B210" s="30" t="s">
        <v>141</v>
      </c>
      <c r="C210" s="29">
        <v>1962</v>
      </c>
      <c r="D210" s="44">
        <v>6</v>
      </c>
      <c r="E210" s="16">
        <v>38.5</v>
      </c>
      <c r="F210" s="17">
        <v>0.13681592039800997</v>
      </c>
      <c r="G210" s="16">
        <f>185208/281.4*E210</f>
        <v>25339.402985074626</v>
      </c>
      <c r="H210" s="16">
        <f>110662.38/281.4*E210+G210*1%</f>
        <v>15393.769402985077</v>
      </c>
      <c r="I210" s="16">
        <f t="shared" si="25"/>
        <v>9945.63358208955</v>
      </c>
      <c r="J210" s="18"/>
    </row>
    <row r="211" spans="1:10" ht="15.75" customHeight="1">
      <c r="A211" s="52">
        <v>199</v>
      </c>
      <c r="B211" s="30" t="s">
        <v>204</v>
      </c>
      <c r="C211" s="29">
        <v>1961</v>
      </c>
      <c r="D211" s="44">
        <v>5</v>
      </c>
      <c r="E211" s="16">
        <v>31.9</v>
      </c>
      <c r="F211" s="17">
        <v>0.116</v>
      </c>
      <c r="G211" s="16">
        <v>20071.22</v>
      </c>
      <c r="H211" s="16">
        <v>14852.7</v>
      </c>
      <c r="I211" s="16">
        <v>5218.52</v>
      </c>
      <c r="J211" s="18"/>
    </row>
    <row r="212" spans="1:10" ht="15.75" customHeight="1">
      <c r="A212" s="52">
        <v>200</v>
      </c>
      <c r="B212" s="30" t="s">
        <v>142</v>
      </c>
      <c r="C212" s="29">
        <v>1957</v>
      </c>
      <c r="D212" s="45" t="s">
        <v>58</v>
      </c>
      <c r="E212" s="16">
        <v>53.3</v>
      </c>
      <c r="F212" s="17">
        <v>0.06476148817768705</v>
      </c>
      <c r="G212" s="16">
        <f>439053.61/823.02*E212</f>
        <v>28433.76517338582</v>
      </c>
      <c r="H212" s="16">
        <f>419892.83/823.02*E212+G212*1%</f>
        <v>27477.22219767442</v>
      </c>
      <c r="I212" s="16">
        <f t="shared" si="25"/>
        <v>956.5429757113998</v>
      </c>
      <c r="J212" s="18"/>
    </row>
    <row r="213" spans="1:10" ht="15.75" customHeight="1">
      <c r="A213" s="52">
        <v>201</v>
      </c>
      <c r="B213" s="30" t="s">
        <v>142</v>
      </c>
      <c r="C213" s="29">
        <v>1957</v>
      </c>
      <c r="D213" s="45" t="s">
        <v>59</v>
      </c>
      <c r="E213" s="16">
        <v>16.9</v>
      </c>
      <c r="F213" s="17">
        <v>0.02053413039780321</v>
      </c>
      <c r="G213" s="16">
        <f>439053.61/823.02*E213</f>
        <v>9015.584079366236</v>
      </c>
      <c r="H213" s="16">
        <f>419892.83/823.02*E213+G213*1%</f>
        <v>8712.289965116279</v>
      </c>
      <c r="I213" s="16">
        <f t="shared" si="25"/>
        <v>303.2941142499567</v>
      </c>
      <c r="J213" s="18"/>
    </row>
    <row r="214" spans="1:10" ht="15.75" customHeight="1">
      <c r="A214" s="52">
        <v>202</v>
      </c>
      <c r="B214" s="30" t="s">
        <v>164</v>
      </c>
      <c r="C214" s="29">
        <v>1974</v>
      </c>
      <c r="D214" s="44">
        <v>3</v>
      </c>
      <c r="E214" s="16">
        <v>28.8</v>
      </c>
      <c r="F214" s="17">
        <v>0.0065</v>
      </c>
      <c r="G214" s="16">
        <f>7423005/4459.7*E214</f>
        <v>47936.53025988295</v>
      </c>
      <c r="H214" s="16">
        <f>3628660/4459.7*E214+G214*1%</f>
        <v>23912.647361930176</v>
      </c>
      <c r="I214" s="16">
        <f t="shared" si="25"/>
        <v>24023.882897952775</v>
      </c>
      <c r="J214" s="18"/>
    </row>
    <row r="215" spans="1:10" ht="15.75" customHeight="1">
      <c r="A215" s="52">
        <v>203</v>
      </c>
      <c r="B215" s="30" t="s">
        <v>164</v>
      </c>
      <c r="C215" s="29">
        <v>1974</v>
      </c>
      <c r="D215" s="44">
        <v>11</v>
      </c>
      <c r="E215" s="16">
        <v>29.5</v>
      </c>
      <c r="F215" s="17">
        <v>0.0066</v>
      </c>
      <c r="G215" s="16">
        <f>7423005/4459.7*E215</f>
        <v>49101.654259255105</v>
      </c>
      <c r="H215" s="16">
        <f>3628660/4459.7*E215+G215*1%</f>
        <v>24493.85754086598</v>
      </c>
      <c r="I215" s="16">
        <f t="shared" si="25"/>
        <v>24607.796718389123</v>
      </c>
      <c r="J215" s="18"/>
    </row>
    <row r="216" spans="1:10" ht="15.75" customHeight="1">
      <c r="A216" s="52">
        <v>204</v>
      </c>
      <c r="B216" s="30" t="s">
        <v>164</v>
      </c>
      <c r="C216" s="29">
        <v>1974</v>
      </c>
      <c r="D216" s="44">
        <v>41</v>
      </c>
      <c r="E216" s="16">
        <v>44</v>
      </c>
      <c r="F216" s="17">
        <v>0.0099</v>
      </c>
      <c r="G216" s="16">
        <f>7423005/4459.7*E216</f>
        <v>73236.36567482118</v>
      </c>
      <c r="H216" s="16">
        <f>3628660/4459.7*E216+G216*1%</f>
        <v>36533.21124739332</v>
      </c>
      <c r="I216" s="16">
        <f>G216-H216</f>
        <v>36703.15442742786</v>
      </c>
      <c r="J216" s="18"/>
    </row>
    <row r="217" spans="1:10" ht="15.75" customHeight="1">
      <c r="A217" s="52">
        <v>205</v>
      </c>
      <c r="B217" s="30" t="s">
        <v>164</v>
      </c>
      <c r="C217" s="29">
        <v>1974</v>
      </c>
      <c r="D217" s="44">
        <v>65</v>
      </c>
      <c r="E217" s="16">
        <v>47.5</v>
      </c>
      <c r="F217" s="17">
        <v>0.0107</v>
      </c>
      <c r="G217" s="16">
        <f>7423005/4459.7*E217</f>
        <v>79061.98567168195</v>
      </c>
      <c r="H217" s="16">
        <f>3628660/4459.7*E217+G217*1%</f>
        <v>39439.26214207234</v>
      </c>
      <c r="I217" s="16">
        <f>G217-H217</f>
        <v>39622.72352960961</v>
      </c>
      <c r="J217" s="18"/>
    </row>
    <row r="218" spans="1:10" ht="15.75" customHeight="1">
      <c r="A218" s="52">
        <v>206</v>
      </c>
      <c r="B218" s="30" t="s">
        <v>164</v>
      </c>
      <c r="C218" s="29">
        <v>1974</v>
      </c>
      <c r="D218" s="44">
        <v>90</v>
      </c>
      <c r="E218" s="16">
        <v>37.9</v>
      </c>
      <c r="F218" s="17">
        <v>0.0085</v>
      </c>
      <c r="G218" s="16">
        <f>7423005/4459.7*E218</f>
        <v>63083.142251720965</v>
      </c>
      <c r="H218" s="16">
        <f>3628660/4459.7*E218+G218*1%</f>
        <v>31468.379688095614</v>
      </c>
      <c r="I218" s="16">
        <f>G218-H218</f>
        <v>31614.76256362535</v>
      </c>
      <c r="J218" s="18"/>
    </row>
    <row r="219" spans="1:10" ht="15.75" customHeight="1">
      <c r="A219" s="52">
        <v>207</v>
      </c>
      <c r="B219" s="30" t="s">
        <v>165</v>
      </c>
      <c r="C219" s="29">
        <v>1973</v>
      </c>
      <c r="D219" s="44">
        <v>7</v>
      </c>
      <c r="E219" s="16">
        <v>29.1</v>
      </c>
      <c r="F219" s="17">
        <f>1/2684.8*E219</f>
        <v>0.010838796185935638</v>
      </c>
      <c r="G219" s="16">
        <f>7017640/2684.8*E219</f>
        <v>76062.76966626938</v>
      </c>
      <c r="H219" s="16">
        <f>2399010.75/2684.8*E219+G219*1%</f>
        <v>26763.016263781286</v>
      </c>
      <c r="I219" s="16">
        <f>G219-H219</f>
        <v>49299.75340248809</v>
      </c>
      <c r="J219" s="18"/>
    </row>
    <row r="220" spans="1:10" ht="15.75" customHeight="1">
      <c r="A220" s="52">
        <v>208</v>
      </c>
      <c r="B220" s="30" t="s">
        <v>165</v>
      </c>
      <c r="C220" s="29">
        <v>1973</v>
      </c>
      <c r="D220" s="44">
        <v>27</v>
      </c>
      <c r="E220" s="16">
        <v>30</v>
      </c>
      <c r="F220" s="17">
        <f>1/2684.8*E220</f>
        <v>0.011174016686531585</v>
      </c>
      <c r="G220" s="16">
        <f>7017640/2684.8*E220</f>
        <v>78415.22646007151</v>
      </c>
      <c r="H220" s="16">
        <f>2399010.75/2684.8*E220+G220*1%</f>
        <v>27590.738416269367</v>
      </c>
      <c r="I220" s="16">
        <f aca="true" t="shared" si="26" ref="I220:I252">G220-H220</f>
        <v>50824.48804380215</v>
      </c>
      <c r="J220" s="18"/>
    </row>
    <row r="221" spans="1:10" ht="15.75" customHeight="1">
      <c r="A221" s="52">
        <v>209</v>
      </c>
      <c r="B221" s="30" t="s">
        <v>165</v>
      </c>
      <c r="C221" s="29">
        <v>1973</v>
      </c>
      <c r="D221" s="44">
        <v>44</v>
      </c>
      <c r="E221" s="16">
        <v>50.4</v>
      </c>
      <c r="F221" s="17">
        <f>1/2684.8*E221</f>
        <v>0.018772348033373062</v>
      </c>
      <c r="G221" s="16">
        <f>7017640/2684.8*E221</f>
        <v>131737.58045292014</v>
      </c>
      <c r="H221" s="16">
        <f>2399010.75/2684.8*E221+G221*1%</f>
        <v>46352.44053933253</v>
      </c>
      <c r="I221" s="16">
        <f t="shared" si="26"/>
        <v>85385.13991358761</v>
      </c>
      <c r="J221" s="18"/>
    </row>
    <row r="222" spans="1:10" ht="15.75" customHeight="1">
      <c r="A222" s="52">
        <v>210</v>
      </c>
      <c r="B222" s="30" t="s">
        <v>166</v>
      </c>
      <c r="C222" s="29">
        <v>1985</v>
      </c>
      <c r="D222" s="44">
        <v>1</v>
      </c>
      <c r="E222" s="16">
        <v>50.2</v>
      </c>
      <c r="F222" s="17">
        <v>0.0185</v>
      </c>
      <c r="G222" s="16">
        <f aca="true" t="shared" si="27" ref="G222:G228">18921381/2707.1*E222</f>
        <v>350874.857301171</v>
      </c>
      <c r="H222" s="16">
        <f>7168122.5/2707.1*E222+G222*1%</f>
        <v>136433.1878253482</v>
      </c>
      <c r="I222" s="16">
        <f t="shared" si="26"/>
        <v>214441.6694758228</v>
      </c>
      <c r="J222" s="18"/>
    </row>
    <row r="223" spans="1:10" ht="15.75" customHeight="1">
      <c r="A223" s="52">
        <v>211</v>
      </c>
      <c r="B223" s="30" t="s">
        <v>166</v>
      </c>
      <c r="C223" s="29">
        <v>1985</v>
      </c>
      <c r="D223" s="44">
        <v>10</v>
      </c>
      <c r="E223" s="16">
        <v>50.7</v>
      </c>
      <c r="F223" s="17">
        <v>0.0187</v>
      </c>
      <c r="G223" s="16">
        <f t="shared" si="27"/>
        <v>354369.6267962026</v>
      </c>
      <c r="H223" s="16">
        <f aca="true" t="shared" si="28" ref="H223:H228">7168122.5/2707.1*E223+G223*1%</f>
        <v>137792.08411842934</v>
      </c>
      <c r="I223" s="16">
        <f t="shared" si="26"/>
        <v>216577.54267777328</v>
      </c>
      <c r="J223" s="18"/>
    </row>
    <row r="224" spans="1:10" ht="15.75" customHeight="1">
      <c r="A224" s="52">
        <v>212</v>
      </c>
      <c r="B224" s="30" t="s">
        <v>166</v>
      </c>
      <c r="C224" s="29">
        <v>1985</v>
      </c>
      <c r="D224" s="44">
        <v>11</v>
      </c>
      <c r="E224" s="16">
        <v>33.5</v>
      </c>
      <c r="F224" s="17">
        <v>0.0124</v>
      </c>
      <c r="G224" s="16">
        <f t="shared" si="27"/>
        <v>234149.5561671161</v>
      </c>
      <c r="H224" s="16">
        <f t="shared" si="28"/>
        <v>91046.05163643752</v>
      </c>
      <c r="I224" s="16">
        <f t="shared" si="26"/>
        <v>143103.50453067856</v>
      </c>
      <c r="J224" s="18"/>
    </row>
    <row r="225" spans="1:10" ht="15.75" customHeight="1">
      <c r="A225" s="52">
        <v>213</v>
      </c>
      <c r="B225" s="30" t="s">
        <v>166</v>
      </c>
      <c r="C225" s="29">
        <v>1985</v>
      </c>
      <c r="D225" s="44">
        <v>7</v>
      </c>
      <c r="E225" s="16">
        <v>50.5</v>
      </c>
      <c r="F225" s="17">
        <v>0.0225</v>
      </c>
      <c r="G225" s="16">
        <f t="shared" si="27"/>
        <v>352971.71899818996</v>
      </c>
      <c r="H225" s="16">
        <f t="shared" si="28"/>
        <v>137248.52560119686</v>
      </c>
      <c r="I225" s="16">
        <f t="shared" si="26"/>
        <v>215723.1933969931</v>
      </c>
      <c r="J225" s="18"/>
    </row>
    <row r="226" spans="1:10" ht="15.75" customHeight="1">
      <c r="A226" s="52">
        <v>214</v>
      </c>
      <c r="B226" s="30" t="s">
        <v>166</v>
      </c>
      <c r="C226" s="29">
        <v>1985</v>
      </c>
      <c r="D226" s="44">
        <v>43</v>
      </c>
      <c r="E226" s="16">
        <v>47.4</v>
      </c>
      <c r="F226" s="17">
        <v>0.0175</v>
      </c>
      <c r="G226" s="16">
        <f t="shared" si="27"/>
        <v>331304.1481289941</v>
      </c>
      <c r="H226" s="16">
        <f t="shared" si="28"/>
        <v>128823.36858409368</v>
      </c>
      <c r="I226" s="16">
        <f t="shared" si="26"/>
        <v>202480.7795449004</v>
      </c>
      <c r="J226" s="18"/>
    </row>
    <row r="227" spans="1:10" ht="15.75" customHeight="1">
      <c r="A227" s="52">
        <v>215</v>
      </c>
      <c r="B227" s="30" t="s">
        <v>166</v>
      </c>
      <c r="C227" s="29">
        <v>1985</v>
      </c>
      <c r="D227" s="44">
        <v>47</v>
      </c>
      <c r="E227" s="16">
        <v>33.4</v>
      </c>
      <c r="F227" s="17">
        <v>0.0123</v>
      </c>
      <c r="G227" s="16">
        <f t="shared" si="27"/>
        <v>233450.60226810977</v>
      </c>
      <c r="H227" s="16">
        <f t="shared" si="28"/>
        <v>90774.2723778213</v>
      </c>
      <c r="I227" s="16">
        <f t="shared" si="26"/>
        <v>142676.32989028847</v>
      </c>
      <c r="J227" s="18"/>
    </row>
    <row r="228" spans="1:10" ht="15.75" customHeight="1">
      <c r="A228" s="52">
        <v>216</v>
      </c>
      <c r="B228" s="30" t="s">
        <v>166</v>
      </c>
      <c r="C228" s="29">
        <v>1985</v>
      </c>
      <c r="D228" s="44">
        <v>58</v>
      </c>
      <c r="E228" s="16">
        <v>47.2</v>
      </c>
      <c r="F228" s="17">
        <v>0.0174</v>
      </c>
      <c r="G228" s="16">
        <f t="shared" si="27"/>
        <v>329906.2403309815</v>
      </c>
      <c r="H228" s="16">
        <f t="shared" si="28"/>
        <v>128279.81006686123</v>
      </c>
      <c r="I228" s="16">
        <f t="shared" si="26"/>
        <v>201626.43026412028</v>
      </c>
      <c r="J228" s="18"/>
    </row>
    <row r="229" spans="1:10" ht="15.75" customHeight="1">
      <c r="A229" s="52">
        <v>217</v>
      </c>
      <c r="B229" s="30" t="s">
        <v>167</v>
      </c>
      <c r="C229" s="29">
        <v>1996</v>
      </c>
      <c r="D229" s="44">
        <v>2</v>
      </c>
      <c r="E229" s="16">
        <v>34.8</v>
      </c>
      <c r="F229" s="17">
        <v>0.0245</v>
      </c>
      <c r="G229" s="16">
        <f aca="true" t="shared" si="29" ref="G229:G237">17772507/1418.4*E229</f>
        <v>436042.8959390862</v>
      </c>
      <c r="H229" s="16">
        <f aca="true" t="shared" si="30" ref="H229:H237">2360731.5/1418.4*E229+G229*1%</f>
        <v>62280.23733502537</v>
      </c>
      <c r="I229" s="16">
        <f t="shared" si="26"/>
        <v>373762.6586040608</v>
      </c>
      <c r="J229" s="18"/>
    </row>
    <row r="230" spans="1:10" ht="15.75" customHeight="1">
      <c r="A230" s="52">
        <v>218</v>
      </c>
      <c r="B230" s="30" t="s">
        <v>167</v>
      </c>
      <c r="C230" s="29">
        <v>1996</v>
      </c>
      <c r="D230" s="44">
        <v>3</v>
      </c>
      <c r="E230" s="16">
        <v>34.8</v>
      </c>
      <c r="F230" s="17">
        <v>0.0245</v>
      </c>
      <c r="G230" s="16">
        <f t="shared" si="29"/>
        <v>436042.8959390862</v>
      </c>
      <c r="H230" s="16">
        <f t="shared" si="30"/>
        <v>62280.23733502537</v>
      </c>
      <c r="I230" s="16">
        <f t="shared" si="26"/>
        <v>373762.6586040608</v>
      </c>
      <c r="J230" s="18"/>
    </row>
    <row r="231" spans="1:10" ht="15.75" customHeight="1">
      <c r="A231" s="52">
        <v>219</v>
      </c>
      <c r="B231" s="30" t="s">
        <v>167</v>
      </c>
      <c r="C231" s="29">
        <v>1996</v>
      </c>
      <c r="D231" s="44">
        <v>6</v>
      </c>
      <c r="E231" s="16">
        <v>34.8</v>
      </c>
      <c r="F231" s="17">
        <v>0.0245</v>
      </c>
      <c r="G231" s="16">
        <f t="shared" si="29"/>
        <v>436042.8959390862</v>
      </c>
      <c r="H231" s="16">
        <f t="shared" si="30"/>
        <v>62280.23733502537</v>
      </c>
      <c r="I231" s="16">
        <f t="shared" si="26"/>
        <v>373762.6586040608</v>
      </c>
      <c r="J231" s="18"/>
    </row>
    <row r="232" spans="1:10" ht="15.75" customHeight="1">
      <c r="A232" s="52">
        <v>220</v>
      </c>
      <c r="B232" s="30" t="s">
        <v>167</v>
      </c>
      <c r="C232" s="29">
        <v>1996</v>
      </c>
      <c r="D232" s="44">
        <v>9</v>
      </c>
      <c r="E232" s="16">
        <v>53.85</v>
      </c>
      <c r="F232" s="17">
        <v>0.038</v>
      </c>
      <c r="G232" s="16">
        <f t="shared" si="29"/>
        <v>674738.7915609137</v>
      </c>
      <c r="H232" s="16">
        <f t="shared" si="30"/>
        <v>96373.29828997463</v>
      </c>
      <c r="I232" s="16">
        <f t="shared" si="26"/>
        <v>578365.493270939</v>
      </c>
      <c r="J232" s="18"/>
    </row>
    <row r="233" spans="1:10" ht="15.75" customHeight="1">
      <c r="A233" s="52">
        <v>221</v>
      </c>
      <c r="B233" s="30" t="s">
        <v>167</v>
      </c>
      <c r="C233" s="29">
        <v>1996</v>
      </c>
      <c r="D233" s="44">
        <v>11</v>
      </c>
      <c r="E233" s="16">
        <v>34.8</v>
      </c>
      <c r="F233" s="17">
        <v>0.0245</v>
      </c>
      <c r="G233" s="16">
        <f t="shared" si="29"/>
        <v>436042.8959390862</v>
      </c>
      <c r="H233" s="16">
        <f t="shared" si="30"/>
        <v>62280.23733502537</v>
      </c>
      <c r="I233" s="16">
        <f t="shared" si="26"/>
        <v>373762.6586040608</v>
      </c>
      <c r="J233" s="18"/>
    </row>
    <row r="234" spans="1:10" ht="15.75" customHeight="1">
      <c r="A234" s="52">
        <v>222</v>
      </c>
      <c r="B234" s="30" t="s">
        <v>167</v>
      </c>
      <c r="C234" s="29">
        <v>1996</v>
      </c>
      <c r="D234" s="44">
        <v>17</v>
      </c>
      <c r="E234" s="16">
        <v>53.85</v>
      </c>
      <c r="F234" s="17">
        <v>0.038</v>
      </c>
      <c r="G234" s="16">
        <f t="shared" si="29"/>
        <v>674738.7915609137</v>
      </c>
      <c r="H234" s="16">
        <f t="shared" si="30"/>
        <v>96373.29828997463</v>
      </c>
      <c r="I234" s="16">
        <f t="shared" si="26"/>
        <v>578365.493270939</v>
      </c>
      <c r="J234" s="18"/>
    </row>
    <row r="235" spans="1:10" ht="15.75" customHeight="1">
      <c r="A235" s="52">
        <v>223</v>
      </c>
      <c r="B235" s="30" t="s">
        <v>167</v>
      </c>
      <c r="C235" s="29">
        <v>1996</v>
      </c>
      <c r="D235" s="44">
        <v>23</v>
      </c>
      <c r="E235" s="16">
        <v>34.8</v>
      </c>
      <c r="F235" s="17">
        <v>0.0245</v>
      </c>
      <c r="G235" s="16">
        <f t="shared" si="29"/>
        <v>436042.8959390862</v>
      </c>
      <c r="H235" s="16">
        <f t="shared" si="30"/>
        <v>62280.23733502537</v>
      </c>
      <c r="I235" s="16">
        <f t="shared" si="26"/>
        <v>373762.6586040608</v>
      </c>
      <c r="J235" s="18"/>
    </row>
    <row r="236" spans="1:10" ht="15.75" customHeight="1">
      <c r="A236" s="52">
        <v>224</v>
      </c>
      <c r="B236" s="30" t="s">
        <v>167</v>
      </c>
      <c r="C236" s="29">
        <v>1996</v>
      </c>
      <c r="D236" s="44">
        <v>29</v>
      </c>
      <c r="E236" s="16">
        <v>53.85</v>
      </c>
      <c r="F236" s="17">
        <v>0.038</v>
      </c>
      <c r="G236" s="16">
        <f t="shared" si="29"/>
        <v>674738.7915609137</v>
      </c>
      <c r="H236" s="16">
        <f t="shared" si="30"/>
        <v>96373.29828997463</v>
      </c>
      <c r="I236" s="16">
        <f t="shared" si="26"/>
        <v>578365.493270939</v>
      </c>
      <c r="J236" s="18"/>
    </row>
    <row r="237" spans="1:10" ht="15.75" customHeight="1">
      <c r="A237" s="52">
        <v>225</v>
      </c>
      <c r="B237" s="30" t="s">
        <v>167</v>
      </c>
      <c r="C237" s="29">
        <v>1996</v>
      </c>
      <c r="D237" s="44">
        <v>30</v>
      </c>
      <c r="E237" s="16">
        <v>34.8</v>
      </c>
      <c r="F237" s="17">
        <v>0.0245</v>
      </c>
      <c r="G237" s="16">
        <f t="shared" si="29"/>
        <v>436042.8959390862</v>
      </c>
      <c r="H237" s="16">
        <f t="shared" si="30"/>
        <v>62280.23733502537</v>
      </c>
      <c r="I237" s="16">
        <f t="shared" si="26"/>
        <v>373762.6586040608</v>
      </c>
      <c r="J237" s="18"/>
    </row>
    <row r="238" spans="1:10" ht="15.75" customHeight="1">
      <c r="A238" s="52">
        <v>226</v>
      </c>
      <c r="B238" s="30" t="s">
        <v>168</v>
      </c>
      <c r="C238" s="29">
        <v>1994</v>
      </c>
      <c r="D238" s="44">
        <v>4</v>
      </c>
      <c r="E238" s="16">
        <v>72.1</v>
      </c>
      <c r="F238" s="17">
        <v>0.0213</v>
      </c>
      <c r="G238" s="16">
        <f>58109022/3390.2*E238</f>
        <v>1235815.1395787857</v>
      </c>
      <c r="H238" s="16">
        <f>8648547.75/3390.2*E238+G238*1%</f>
        <v>196288.38936847384</v>
      </c>
      <c r="I238" s="16">
        <f t="shared" si="26"/>
        <v>1039526.750210312</v>
      </c>
      <c r="J238" s="18"/>
    </row>
    <row r="239" spans="1:10" ht="15.75" customHeight="1">
      <c r="A239" s="52">
        <v>227</v>
      </c>
      <c r="B239" s="30" t="s">
        <v>168</v>
      </c>
      <c r="C239" s="29">
        <v>1994</v>
      </c>
      <c r="D239" s="44">
        <v>19</v>
      </c>
      <c r="E239" s="16">
        <v>52.4</v>
      </c>
      <c r="F239" s="17">
        <v>0.0155</v>
      </c>
      <c r="G239" s="16">
        <f>58109022/3390.2*E239</f>
        <v>898151.3635773701</v>
      </c>
      <c r="H239" s="16">
        <f>8648547.75/3390.2*E239+G239*1%</f>
        <v>142656.19421509057</v>
      </c>
      <c r="I239" s="16">
        <f t="shared" si="26"/>
        <v>755495.1693622795</v>
      </c>
      <c r="J239" s="18"/>
    </row>
    <row r="240" spans="1:10" ht="15.75" customHeight="1">
      <c r="A240" s="52">
        <v>228</v>
      </c>
      <c r="B240" s="30" t="s">
        <v>168</v>
      </c>
      <c r="C240" s="29">
        <v>1994</v>
      </c>
      <c r="D240" s="44">
        <v>34</v>
      </c>
      <c r="E240" s="16">
        <v>35.4</v>
      </c>
      <c r="F240" s="17">
        <v>0.0104</v>
      </c>
      <c r="G240" s="16">
        <f>58109022/3390.2*E240</f>
        <v>606766.379210666</v>
      </c>
      <c r="H240" s="16">
        <f>8648547.75/3390.2*E240+G240*1%</f>
        <v>96374.60448882071</v>
      </c>
      <c r="I240" s="16">
        <f t="shared" si="26"/>
        <v>510391.77472184534</v>
      </c>
      <c r="J240" s="18"/>
    </row>
    <row r="241" spans="1:10" ht="15.75" customHeight="1">
      <c r="A241" s="52">
        <v>229</v>
      </c>
      <c r="B241" s="30" t="s">
        <v>168</v>
      </c>
      <c r="C241" s="29">
        <v>1994</v>
      </c>
      <c r="D241" s="44">
        <v>38</v>
      </c>
      <c r="E241" s="16">
        <v>52.8</v>
      </c>
      <c r="F241" s="17">
        <v>0.0156</v>
      </c>
      <c r="G241" s="16">
        <f>58109022/3390.2*E241</f>
        <v>905007.4808565866</v>
      </c>
      <c r="H241" s="16">
        <f>8648547.75/3390.2*E241+G241*1%</f>
        <v>143745.17279688513</v>
      </c>
      <c r="I241" s="16">
        <f t="shared" si="26"/>
        <v>761262.3080597015</v>
      </c>
      <c r="J241" s="18"/>
    </row>
    <row r="242" spans="1:10" ht="15.75" customHeight="1">
      <c r="A242" s="52">
        <v>230</v>
      </c>
      <c r="B242" s="30" t="s">
        <v>168</v>
      </c>
      <c r="C242" s="29">
        <v>1994</v>
      </c>
      <c r="D242" s="44">
        <v>40</v>
      </c>
      <c r="E242" s="16">
        <v>71.4</v>
      </c>
      <c r="F242" s="17">
        <v>0.0211</v>
      </c>
      <c r="G242" s="16">
        <f>58109022/3390.2*E242</f>
        <v>1223816.934340157</v>
      </c>
      <c r="H242" s="16">
        <f>8648547.75/3390.2*E242+G242*1%</f>
        <v>194382.67685033332</v>
      </c>
      <c r="I242" s="16">
        <f t="shared" si="26"/>
        <v>1029434.2574898237</v>
      </c>
      <c r="J242" s="18"/>
    </row>
    <row r="243" spans="1:10" ht="15.75" customHeight="1">
      <c r="A243" s="52">
        <v>231</v>
      </c>
      <c r="B243" s="30" t="s">
        <v>169</v>
      </c>
      <c r="C243" s="29">
        <v>1996</v>
      </c>
      <c r="D243" s="44">
        <v>3</v>
      </c>
      <c r="E243" s="16">
        <v>50.8</v>
      </c>
      <c r="F243" s="17">
        <v>0.0155</v>
      </c>
      <c r="G243" s="16">
        <f aca="true" t="shared" si="31" ref="G243:G248">25781775.04/3281.2*E243</f>
        <v>399157.06815555284</v>
      </c>
      <c r="H243" s="16">
        <f aca="true" t="shared" si="32" ref="H243:H248">3321442.25/3281.2*E243+G243*1%</f>
        <v>55414.60685734488</v>
      </c>
      <c r="I243" s="16">
        <f t="shared" si="26"/>
        <v>343742.461298208</v>
      </c>
      <c r="J243" s="18"/>
    </row>
    <row r="244" spans="1:10" ht="15.75" customHeight="1">
      <c r="A244" s="52">
        <v>232</v>
      </c>
      <c r="B244" s="30" t="s">
        <v>169</v>
      </c>
      <c r="C244" s="29">
        <v>1996</v>
      </c>
      <c r="D244" s="44">
        <v>5</v>
      </c>
      <c r="E244" s="16">
        <v>69.7</v>
      </c>
      <c r="F244" s="17">
        <v>0.0212</v>
      </c>
      <c r="G244" s="16">
        <f t="shared" si="31"/>
        <v>547662.3553236622</v>
      </c>
      <c r="H244" s="16">
        <f t="shared" si="32"/>
        <v>76031.45862119958</v>
      </c>
      <c r="I244" s="16">
        <f t="shared" si="26"/>
        <v>471630.8967024626</v>
      </c>
      <c r="J244" s="18"/>
    </row>
    <row r="245" spans="1:10" ht="15.75" customHeight="1">
      <c r="A245" s="52">
        <v>233</v>
      </c>
      <c r="B245" s="30" t="s">
        <v>169</v>
      </c>
      <c r="C245" s="29">
        <v>1996</v>
      </c>
      <c r="D245" s="44">
        <v>10</v>
      </c>
      <c r="E245" s="16">
        <v>50.8</v>
      </c>
      <c r="F245" s="17">
        <v>0.0155</v>
      </c>
      <c r="G245" s="16">
        <f t="shared" si="31"/>
        <v>399157.06815555284</v>
      </c>
      <c r="H245" s="16">
        <f t="shared" si="32"/>
        <v>55414.60685734488</v>
      </c>
      <c r="I245" s="16">
        <f t="shared" si="26"/>
        <v>343742.461298208</v>
      </c>
      <c r="J245" s="18"/>
    </row>
    <row r="246" spans="1:10" ht="15.75" customHeight="1">
      <c r="A246" s="52">
        <v>234</v>
      </c>
      <c r="B246" s="30" t="s">
        <v>169</v>
      </c>
      <c r="C246" s="29">
        <v>1996</v>
      </c>
      <c r="D246" s="44">
        <v>34</v>
      </c>
      <c r="E246" s="16">
        <v>35.3</v>
      </c>
      <c r="F246" s="17">
        <v>0.0108</v>
      </c>
      <c r="G246" s="16">
        <f t="shared" si="31"/>
        <v>277367.0178325003</v>
      </c>
      <c r="H246" s="16">
        <f t="shared" si="32"/>
        <v>38506.6067335487</v>
      </c>
      <c r="I246" s="16">
        <f t="shared" si="26"/>
        <v>238860.4110989516</v>
      </c>
      <c r="J246" s="18"/>
    </row>
    <row r="247" spans="1:10" ht="15.75" customHeight="1">
      <c r="A247" s="52">
        <v>235</v>
      </c>
      <c r="B247" s="30" t="s">
        <v>169</v>
      </c>
      <c r="C247" s="29">
        <v>1996</v>
      </c>
      <c r="D247" s="44">
        <v>37</v>
      </c>
      <c r="E247" s="16">
        <v>52</v>
      </c>
      <c r="F247" s="17">
        <v>0.0158</v>
      </c>
      <c r="G247" s="16">
        <f t="shared" si="31"/>
        <v>408585.9752773376</v>
      </c>
      <c r="H247" s="16">
        <f t="shared" si="32"/>
        <v>56723.613318542</v>
      </c>
      <c r="I247" s="16">
        <f t="shared" si="26"/>
        <v>351862.3619587956</v>
      </c>
      <c r="J247" s="18"/>
    </row>
    <row r="248" spans="1:10" ht="15.75" customHeight="1">
      <c r="A248" s="52">
        <v>236</v>
      </c>
      <c r="B248" s="30" t="s">
        <v>169</v>
      </c>
      <c r="C248" s="29">
        <v>1996</v>
      </c>
      <c r="D248" s="44">
        <v>39</v>
      </c>
      <c r="E248" s="16">
        <v>32.9</v>
      </c>
      <c r="F248" s="17">
        <v>0.01</v>
      </c>
      <c r="G248" s="16">
        <f t="shared" si="31"/>
        <v>258509.2035889309</v>
      </c>
      <c r="H248" s="16">
        <f t="shared" si="32"/>
        <v>35888.59381115445</v>
      </c>
      <c r="I248" s="16">
        <f t="shared" si="26"/>
        <v>222620.60977777644</v>
      </c>
      <c r="J248" s="18"/>
    </row>
    <row r="249" spans="1:10" ht="15.75" customHeight="1">
      <c r="A249" s="52">
        <v>237</v>
      </c>
      <c r="B249" s="30" t="s">
        <v>127</v>
      </c>
      <c r="C249" s="29">
        <v>1970</v>
      </c>
      <c r="D249" s="44">
        <v>16</v>
      </c>
      <c r="E249" s="16">
        <v>45.4</v>
      </c>
      <c r="F249" s="17">
        <v>0.011385922585758067</v>
      </c>
      <c r="G249" s="16">
        <f>3358058.97/3987.38*E249</f>
        <v>38234.59947083047</v>
      </c>
      <c r="H249" s="16">
        <f>1278860.62/3987.38*E249+G249*1%</f>
        <v>14943.354012002868</v>
      </c>
      <c r="I249" s="16">
        <f t="shared" si="26"/>
        <v>23291.2454588276</v>
      </c>
      <c r="J249" s="18"/>
    </row>
    <row r="250" spans="1:10" ht="15.75" customHeight="1">
      <c r="A250" s="52">
        <v>238</v>
      </c>
      <c r="B250" s="30" t="s">
        <v>128</v>
      </c>
      <c r="C250" s="29">
        <v>1960</v>
      </c>
      <c r="D250" s="44">
        <v>3</v>
      </c>
      <c r="E250" s="16">
        <v>22.5</v>
      </c>
      <c r="F250" s="17">
        <v>0.13529765484064943</v>
      </c>
      <c r="G250" s="16">
        <f>110920/166.3*E250</f>
        <v>15007.215874924836</v>
      </c>
      <c r="H250" s="16">
        <f>2403.18/166.3*E250+G250*1%</f>
        <v>475.21677690920023</v>
      </c>
      <c r="I250" s="16">
        <f t="shared" si="26"/>
        <v>14531.999098015636</v>
      </c>
      <c r="J250" s="18"/>
    </row>
    <row r="251" spans="1:10" ht="15.75" customHeight="1">
      <c r="A251" s="52">
        <v>239</v>
      </c>
      <c r="B251" s="30" t="s">
        <v>129</v>
      </c>
      <c r="C251" s="29">
        <v>1957</v>
      </c>
      <c r="D251" s="44">
        <v>5</v>
      </c>
      <c r="E251" s="16">
        <v>37</v>
      </c>
      <c r="F251" s="17">
        <v>0.05579010856453558</v>
      </c>
      <c r="G251" s="16">
        <f>638292.04/663.5*E251</f>
        <v>35594.281055011306</v>
      </c>
      <c r="H251" s="16">
        <f>449677.93/663.5*E251+G251*1%</f>
        <v>25432.180052449134</v>
      </c>
      <c r="I251" s="16">
        <f t="shared" si="26"/>
        <v>10162.101002562173</v>
      </c>
      <c r="J251" s="18"/>
    </row>
    <row r="252" spans="1:10" ht="15.75" customHeight="1">
      <c r="A252" s="52">
        <v>240</v>
      </c>
      <c r="B252" s="30" t="s">
        <v>130</v>
      </c>
      <c r="C252" s="29">
        <v>1966</v>
      </c>
      <c r="D252" s="44">
        <v>3</v>
      </c>
      <c r="E252" s="16">
        <v>14.2</v>
      </c>
      <c r="F252" s="17">
        <v>0.11067809820732656</v>
      </c>
      <c r="G252" s="16">
        <f>114394.77/128.3*E252</f>
        <v>12660.995588464535</v>
      </c>
      <c r="H252" s="16">
        <f>48141.2/128.3*E252+G252*1%</f>
        <v>5454.786417303195</v>
      </c>
      <c r="I252" s="16">
        <f t="shared" si="26"/>
        <v>7206.20917116134</v>
      </c>
      <c r="J252" s="18"/>
    </row>
    <row r="253" spans="1:10" ht="15.75" customHeight="1">
      <c r="A253" s="52">
        <v>241</v>
      </c>
      <c r="B253" s="30" t="s">
        <v>163</v>
      </c>
      <c r="C253" s="29">
        <v>1987</v>
      </c>
      <c r="D253" s="44">
        <v>20</v>
      </c>
      <c r="E253" s="16">
        <v>46.9</v>
      </c>
      <c r="F253" s="17">
        <v>0.0099</v>
      </c>
      <c r="G253" s="16">
        <f>22878429/4734.8*E253</f>
        <v>226619.56578947365</v>
      </c>
      <c r="H253" s="16">
        <f>8697269/4734.8*E253+G253*1%</f>
        <v>88415.96251182733</v>
      </c>
      <c r="I253" s="16">
        <f>G253-H253</f>
        <v>138203.60327764633</v>
      </c>
      <c r="J253" s="18"/>
    </row>
    <row r="254" spans="1:10" ht="15.75" customHeight="1">
      <c r="A254" s="52">
        <v>242</v>
      </c>
      <c r="B254" s="30" t="s">
        <v>163</v>
      </c>
      <c r="C254" s="29">
        <v>1987</v>
      </c>
      <c r="D254" s="44">
        <v>62</v>
      </c>
      <c r="E254" s="16">
        <v>33.1</v>
      </c>
      <c r="F254" s="17">
        <v>0.007</v>
      </c>
      <c r="G254" s="16">
        <f>22878429/4734.8*E254</f>
        <v>159938.3289473684</v>
      </c>
      <c r="H254" s="16">
        <f>8697269/4734.8*E254+G254*1%</f>
        <v>62400.178233293904</v>
      </c>
      <c r="I254" s="16">
        <f>G254-H254</f>
        <v>97538.1507140745</v>
      </c>
      <c r="J254" s="18"/>
    </row>
    <row r="255" spans="1:10" ht="15.75" customHeight="1">
      <c r="A255" s="52">
        <v>243</v>
      </c>
      <c r="B255" s="30" t="s">
        <v>163</v>
      </c>
      <c r="C255" s="29">
        <v>1987</v>
      </c>
      <c r="D255" s="44">
        <v>70</v>
      </c>
      <c r="E255" s="16">
        <v>51</v>
      </c>
      <c r="F255" s="17">
        <v>0.0108</v>
      </c>
      <c r="G255" s="16">
        <f>22878429/4734.8*E255</f>
        <v>246430.65789473683</v>
      </c>
      <c r="H255" s="16">
        <f>8697269/4734.8*E255+G255*1%</f>
        <v>96145.28972501477</v>
      </c>
      <c r="I255" s="16">
        <f>G255-H255</f>
        <v>150285.36816972206</v>
      </c>
      <c r="J255" s="18"/>
    </row>
    <row r="256" spans="1:10" ht="15.75" customHeight="1">
      <c r="A256" s="52">
        <v>244</v>
      </c>
      <c r="B256" s="30" t="s">
        <v>163</v>
      </c>
      <c r="C256" s="29">
        <v>1987</v>
      </c>
      <c r="D256" s="44">
        <v>93</v>
      </c>
      <c r="E256" s="16">
        <v>51</v>
      </c>
      <c r="F256" s="17">
        <v>0.0108</v>
      </c>
      <c r="G256" s="16">
        <f>22878429/4734.8*E256</f>
        <v>246430.65789473683</v>
      </c>
      <c r="H256" s="16">
        <f>8697269/4734.8*E256+G256*1%</f>
        <v>96145.28972501477</v>
      </c>
      <c r="I256" s="16">
        <f aca="true" t="shared" si="33" ref="I256:I274">G256-H256</f>
        <v>150285.36816972206</v>
      </c>
      <c r="J256" s="18"/>
    </row>
    <row r="257" spans="1:10" ht="15.75" customHeight="1">
      <c r="A257" s="52">
        <v>245</v>
      </c>
      <c r="B257" s="30" t="s">
        <v>163</v>
      </c>
      <c r="C257" s="29">
        <v>1987</v>
      </c>
      <c r="D257" s="44">
        <v>97</v>
      </c>
      <c r="E257" s="16">
        <v>47.8</v>
      </c>
      <c r="F257" s="17">
        <v>0.0101</v>
      </c>
      <c r="G257" s="16">
        <f>22878429/4734.8*E257</f>
        <v>230968.34210526312</v>
      </c>
      <c r="H257" s="16">
        <f>8697269/4734.8*E257+G257*1%</f>
        <v>90112.64409520992</v>
      </c>
      <c r="I257" s="16">
        <f t="shared" si="33"/>
        <v>140855.6980100532</v>
      </c>
      <c r="J257" s="18"/>
    </row>
    <row r="258" spans="1:10" ht="15.75" customHeight="1">
      <c r="A258" s="52">
        <v>246</v>
      </c>
      <c r="B258" s="30" t="s">
        <v>131</v>
      </c>
      <c r="C258" s="29">
        <v>1958</v>
      </c>
      <c r="D258" s="44"/>
      <c r="E258" s="16">
        <v>29.6</v>
      </c>
      <c r="F258" s="17">
        <v>1</v>
      </c>
      <c r="G258" s="16">
        <f>26700/29.6*E258</f>
        <v>26700</v>
      </c>
      <c r="H258" s="16">
        <f>20858.75/29.6*E258+G258*1%</f>
        <v>21125.75</v>
      </c>
      <c r="I258" s="16">
        <f t="shared" si="33"/>
        <v>5574.25</v>
      </c>
      <c r="J258" s="18"/>
    </row>
    <row r="259" spans="1:10" ht="15.75" customHeight="1">
      <c r="A259" s="52">
        <v>247</v>
      </c>
      <c r="B259" s="50" t="s">
        <v>92</v>
      </c>
      <c r="C259" s="29">
        <v>1917</v>
      </c>
      <c r="D259" s="40">
        <v>2</v>
      </c>
      <c r="E259" s="16">
        <v>46.1</v>
      </c>
      <c r="F259" s="19">
        <v>0.2379</v>
      </c>
      <c r="G259" s="16">
        <f>169367.98/193.8*E259</f>
        <v>40288.25530443757</v>
      </c>
      <c r="H259" s="16">
        <f>169367.98/193.8*E259</f>
        <v>40288.25530443757</v>
      </c>
      <c r="I259" s="16">
        <f t="shared" si="33"/>
        <v>0</v>
      </c>
      <c r="J259" s="18"/>
    </row>
    <row r="260" spans="1:10" ht="15.75" customHeight="1">
      <c r="A260" s="52">
        <v>248</v>
      </c>
      <c r="B260" s="50" t="s">
        <v>92</v>
      </c>
      <c r="C260" s="29">
        <v>1917</v>
      </c>
      <c r="D260" s="40">
        <v>3</v>
      </c>
      <c r="E260" s="16">
        <v>35.4</v>
      </c>
      <c r="F260" s="19">
        <v>0.1831</v>
      </c>
      <c r="G260" s="16">
        <f>169367.98/193.8*E260</f>
        <v>30937.18520123839</v>
      </c>
      <c r="H260" s="16">
        <f>169367.98/193.8*E260</f>
        <v>30937.18520123839</v>
      </c>
      <c r="I260" s="16">
        <f t="shared" si="33"/>
        <v>0</v>
      </c>
      <c r="J260" s="18"/>
    </row>
    <row r="261" spans="1:10" ht="15.75" customHeight="1">
      <c r="A261" s="52">
        <v>249</v>
      </c>
      <c r="B261" s="50" t="s">
        <v>93</v>
      </c>
      <c r="C261" s="29">
        <v>1917</v>
      </c>
      <c r="D261" s="40">
        <v>1</v>
      </c>
      <c r="E261" s="16">
        <v>26.6</v>
      </c>
      <c r="F261" s="19">
        <v>0.1677</v>
      </c>
      <c r="G261" s="16">
        <f>155649.84/158.6*E261</f>
        <v>26105.20645649433</v>
      </c>
      <c r="H261" s="16">
        <f>155649.84/158.6*E261</f>
        <v>26105.20645649433</v>
      </c>
      <c r="I261" s="16">
        <f t="shared" si="33"/>
        <v>0</v>
      </c>
      <c r="J261" s="18"/>
    </row>
    <row r="262" spans="1:10" ht="15.75" customHeight="1">
      <c r="A262" s="52">
        <v>250</v>
      </c>
      <c r="B262" s="50" t="s">
        <v>37</v>
      </c>
      <c r="C262" s="51">
        <v>1917</v>
      </c>
      <c r="D262" s="44">
        <v>1</v>
      </c>
      <c r="E262" s="16">
        <v>13.8</v>
      </c>
      <c r="F262" s="17">
        <v>0.06210621062106211</v>
      </c>
      <c r="G262" s="16">
        <f>107109.78/222.2*E262</f>
        <v>6652.182556255626</v>
      </c>
      <c r="H262" s="16">
        <f>107109.78/222.2*E262</f>
        <v>6652.182556255626</v>
      </c>
      <c r="I262" s="16">
        <f t="shared" si="33"/>
        <v>0</v>
      </c>
      <c r="J262" s="18"/>
    </row>
    <row r="263" spans="1:10" ht="15.75" customHeight="1">
      <c r="A263" s="52">
        <v>251</v>
      </c>
      <c r="B263" s="50" t="s">
        <v>37</v>
      </c>
      <c r="C263" s="51">
        <v>1917</v>
      </c>
      <c r="D263" s="44">
        <v>5</v>
      </c>
      <c r="E263" s="16">
        <v>13.8</v>
      </c>
      <c r="F263" s="17">
        <v>0.06210621062106211</v>
      </c>
      <c r="G263" s="16">
        <f>107109.78/222.2*E263</f>
        <v>6652.182556255626</v>
      </c>
      <c r="H263" s="16">
        <f>107109.78/222.2*E263</f>
        <v>6652.182556255626</v>
      </c>
      <c r="I263" s="16">
        <f t="shared" si="33"/>
        <v>0</v>
      </c>
      <c r="J263" s="18"/>
    </row>
    <row r="264" spans="1:10" ht="15.75" customHeight="1">
      <c r="A264" s="52">
        <v>252</v>
      </c>
      <c r="B264" s="50" t="s">
        <v>37</v>
      </c>
      <c r="C264" s="51">
        <v>1917</v>
      </c>
      <c r="D264" s="44">
        <v>6</v>
      </c>
      <c r="E264" s="16">
        <v>15.7</v>
      </c>
      <c r="F264" s="17">
        <v>0.07065706570657065</v>
      </c>
      <c r="G264" s="16">
        <f>107109.78/222.2*E264</f>
        <v>7568.062763276328</v>
      </c>
      <c r="H264" s="16">
        <f>107109.78/222.2*E264</f>
        <v>7568.062763276328</v>
      </c>
      <c r="I264" s="16">
        <f t="shared" si="33"/>
        <v>0</v>
      </c>
      <c r="J264" s="18"/>
    </row>
    <row r="265" spans="1:10" ht="15.75" customHeight="1">
      <c r="A265" s="52">
        <v>253</v>
      </c>
      <c r="B265" s="50" t="s">
        <v>37</v>
      </c>
      <c r="C265" s="51">
        <v>1917</v>
      </c>
      <c r="D265" s="44">
        <v>7</v>
      </c>
      <c r="E265" s="16">
        <v>52.1</v>
      </c>
      <c r="F265" s="17">
        <v>0.2344734473447345</v>
      </c>
      <c r="G265" s="16">
        <f>107109.78/222.2*E265</f>
        <v>25114.399360936095</v>
      </c>
      <c r="H265" s="16">
        <f>107109.78/222.2*E265</f>
        <v>25114.399360936095</v>
      </c>
      <c r="I265" s="16">
        <f t="shared" si="33"/>
        <v>0</v>
      </c>
      <c r="J265" s="18"/>
    </row>
    <row r="266" spans="1:10" ht="15.75" customHeight="1">
      <c r="A266" s="52">
        <v>254</v>
      </c>
      <c r="B266" s="30" t="s">
        <v>94</v>
      </c>
      <c r="C266" s="29">
        <v>1996</v>
      </c>
      <c r="D266" s="40">
        <v>16</v>
      </c>
      <c r="E266" s="16">
        <v>50.1</v>
      </c>
      <c r="F266" s="19">
        <v>0.016926819379687815</v>
      </c>
      <c r="G266" s="16">
        <f aca="true" t="shared" si="34" ref="G266:G274">13210199/2959.8*E266</f>
        <v>223606.6524427326</v>
      </c>
      <c r="H266" s="16">
        <f aca="true" t="shared" si="35" ref="H266:H274">153488.56/2959.8*E266+G266*1%</f>
        <v>4834.139656395702</v>
      </c>
      <c r="I266" s="16">
        <f t="shared" si="33"/>
        <v>218772.51278633688</v>
      </c>
      <c r="J266" s="18"/>
    </row>
    <row r="267" spans="1:10" ht="15.75" customHeight="1">
      <c r="A267" s="52">
        <v>255</v>
      </c>
      <c r="B267" s="30" t="s">
        <v>94</v>
      </c>
      <c r="C267" s="29">
        <v>1996</v>
      </c>
      <c r="D267" s="40">
        <v>21</v>
      </c>
      <c r="E267" s="16">
        <v>48.2</v>
      </c>
      <c r="F267" s="19">
        <v>0.016284884113791472</v>
      </c>
      <c r="G267" s="16">
        <f t="shared" si="34"/>
        <v>215126.55983512398</v>
      </c>
      <c r="H267" s="16">
        <f t="shared" si="35"/>
        <v>4650.809010743969</v>
      </c>
      <c r="I267" s="16">
        <f t="shared" si="33"/>
        <v>210475.75082438</v>
      </c>
      <c r="J267" s="18"/>
    </row>
    <row r="268" spans="1:10" ht="15.75" customHeight="1">
      <c r="A268" s="52">
        <v>256</v>
      </c>
      <c r="B268" s="30" t="s">
        <v>94</v>
      </c>
      <c r="C268" s="29">
        <v>1996</v>
      </c>
      <c r="D268" s="40">
        <v>28</v>
      </c>
      <c r="E268" s="16">
        <v>58.8</v>
      </c>
      <c r="F268" s="19">
        <v>0.019866207176160548</v>
      </c>
      <c r="G268" s="16">
        <f t="shared" si="34"/>
        <v>262436.5501723089</v>
      </c>
      <c r="H268" s="16">
        <f t="shared" si="35"/>
        <v>5673.601033853638</v>
      </c>
      <c r="I268" s="16">
        <f t="shared" si="33"/>
        <v>256762.9491384553</v>
      </c>
      <c r="J268" s="18"/>
    </row>
    <row r="269" spans="1:10" ht="15.75" customHeight="1">
      <c r="A269" s="52">
        <v>257</v>
      </c>
      <c r="B269" s="30" t="s">
        <v>94</v>
      </c>
      <c r="C269" s="29">
        <v>1996</v>
      </c>
      <c r="D269" s="40">
        <v>29</v>
      </c>
      <c r="E269" s="16">
        <v>59.1</v>
      </c>
      <c r="F269" s="19">
        <v>0.019967565376038922</v>
      </c>
      <c r="G269" s="16">
        <f t="shared" si="34"/>
        <v>263775.51216298394</v>
      </c>
      <c r="H269" s="16">
        <f t="shared" si="35"/>
        <v>5702.547977903912</v>
      </c>
      <c r="I269" s="16">
        <f t="shared" si="33"/>
        <v>258072.96418508003</v>
      </c>
      <c r="J269" s="18"/>
    </row>
    <row r="270" spans="1:10" ht="15.75" customHeight="1">
      <c r="A270" s="52">
        <v>258</v>
      </c>
      <c r="B270" s="30" t="s">
        <v>94</v>
      </c>
      <c r="C270" s="29">
        <v>1996</v>
      </c>
      <c r="D270" s="40">
        <v>30</v>
      </c>
      <c r="E270" s="16">
        <v>34.7</v>
      </c>
      <c r="F270" s="19">
        <v>0.011723765119264816</v>
      </c>
      <c r="G270" s="16">
        <f t="shared" si="34"/>
        <v>154873.27025474695</v>
      </c>
      <c r="H270" s="16">
        <f t="shared" si="35"/>
        <v>3348.1965284816542</v>
      </c>
      <c r="I270" s="16">
        <f t="shared" si="33"/>
        <v>151525.07372626528</v>
      </c>
      <c r="J270" s="18"/>
    </row>
    <row r="271" spans="1:10" ht="15.75" customHeight="1">
      <c r="A271" s="52">
        <v>259</v>
      </c>
      <c r="B271" s="30" t="s">
        <v>94</v>
      </c>
      <c r="C271" s="29">
        <v>1996</v>
      </c>
      <c r="D271" s="40">
        <v>31</v>
      </c>
      <c r="E271" s="16">
        <v>47.3</v>
      </c>
      <c r="F271" s="19">
        <v>0.01598080951415636</v>
      </c>
      <c r="G271" s="16">
        <f t="shared" si="34"/>
        <v>211109.67386309884</v>
      </c>
      <c r="H271" s="16">
        <f t="shared" si="35"/>
        <v>4563.968178593148</v>
      </c>
      <c r="I271" s="16">
        <f t="shared" si="33"/>
        <v>206545.7056845057</v>
      </c>
      <c r="J271" s="18"/>
    </row>
    <row r="272" spans="1:10" ht="15.75" customHeight="1">
      <c r="A272" s="52">
        <v>260</v>
      </c>
      <c r="B272" s="30" t="s">
        <v>94</v>
      </c>
      <c r="C272" s="29">
        <v>1996</v>
      </c>
      <c r="D272" s="40">
        <v>47</v>
      </c>
      <c r="E272" s="16">
        <v>58.6</v>
      </c>
      <c r="F272" s="19">
        <v>0.019798635042908304</v>
      </c>
      <c r="G272" s="16">
        <f t="shared" si="34"/>
        <v>261543.90884519223</v>
      </c>
      <c r="H272" s="16">
        <f t="shared" si="35"/>
        <v>5654.303071153457</v>
      </c>
      <c r="I272" s="16">
        <f t="shared" si="33"/>
        <v>255889.60577403876</v>
      </c>
      <c r="J272" s="18"/>
    </row>
    <row r="273" spans="1:10" ht="15.75" customHeight="1">
      <c r="A273" s="52">
        <v>261</v>
      </c>
      <c r="B273" s="30" t="s">
        <v>94</v>
      </c>
      <c r="C273" s="29">
        <v>1996</v>
      </c>
      <c r="D273" s="40">
        <v>53</v>
      </c>
      <c r="E273" s="16">
        <v>48.3</v>
      </c>
      <c r="F273" s="19">
        <v>0.016318670180417594</v>
      </c>
      <c r="G273" s="16">
        <f t="shared" si="34"/>
        <v>215572.88049868232</v>
      </c>
      <c r="H273" s="16">
        <f t="shared" si="35"/>
        <v>4660.45799209406</v>
      </c>
      <c r="I273" s="16">
        <f t="shared" si="33"/>
        <v>210912.42250658828</v>
      </c>
      <c r="J273" s="18"/>
    </row>
    <row r="274" spans="1:10" ht="15.75" customHeight="1">
      <c r="A274" s="52">
        <v>262</v>
      </c>
      <c r="B274" s="30" t="s">
        <v>94</v>
      </c>
      <c r="C274" s="29">
        <v>1996</v>
      </c>
      <c r="D274" s="40">
        <v>54</v>
      </c>
      <c r="E274" s="16">
        <v>33.2</v>
      </c>
      <c r="F274" s="19">
        <v>0.011216974119872965</v>
      </c>
      <c r="G274" s="16">
        <f t="shared" si="34"/>
        <v>148178.46030137173</v>
      </c>
      <c r="H274" s="16">
        <f t="shared" si="35"/>
        <v>3203.461808230286</v>
      </c>
      <c r="I274" s="16">
        <f t="shared" si="33"/>
        <v>144974.99849314144</v>
      </c>
      <c r="J274" s="18"/>
    </row>
    <row r="275" spans="1:10" ht="15.75" customHeight="1">
      <c r="A275" s="52">
        <v>263</v>
      </c>
      <c r="B275" s="50" t="s">
        <v>38</v>
      </c>
      <c r="C275" s="51">
        <v>1958</v>
      </c>
      <c r="D275" s="40">
        <v>1</v>
      </c>
      <c r="E275" s="16">
        <v>52.1</v>
      </c>
      <c r="F275" s="17">
        <v>0.11916742909423605</v>
      </c>
      <c r="G275" s="16">
        <f>126471.51/437.2*E275</f>
        <v>15071.284700365964</v>
      </c>
      <c r="H275" s="16">
        <f>112076.25/437.2*E275+G275*1%</f>
        <v>13506.551422026534</v>
      </c>
      <c r="I275" s="16">
        <f aca="true" t="shared" si="36" ref="I275:I281">G275-H275</f>
        <v>1564.7332783394304</v>
      </c>
      <c r="J275" s="18"/>
    </row>
    <row r="276" spans="1:10" ht="15.75" customHeight="1">
      <c r="A276" s="52">
        <v>264</v>
      </c>
      <c r="B276" s="50" t="s">
        <v>95</v>
      </c>
      <c r="C276" s="29">
        <v>1958</v>
      </c>
      <c r="D276" s="2">
        <v>1</v>
      </c>
      <c r="E276" s="16">
        <v>41.6</v>
      </c>
      <c r="F276" s="19">
        <v>0.3665</v>
      </c>
      <c r="G276" s="16">
        <f>84301.24/113.5*E276</f>
        <v>30898.075629955947</v>
      </c>
      <c r="H276" s="16">
        <f>71377.78/113.5*E276</f>
        <v>26161.37134801762</v>
      </c>
      <c r="I276" s="16">
        <f>G276-H276</f>
        <v>4736.704281938328</v>
      </c>
      <c r="J276" s="18"/>
    </row>
    <row r="277" spans="1:10" ht="15.75" customHeight="1">
      <c r="A277" s="52">
        <v>265</v>
      </c>
      <c r="B277" s="30" t="s">
        <v>96</v>
      </c>
      <c r="C277" s="29">
        <v>1994</v>
      </c>
      <c r="D277" s="40">
        <v>43</v>
      </c>
      <c r="E277" s="16">
        <v>48.3</v>
      </c>
      <c r="F277" s="19">
        <v>0.016035856573705178</v>
      </c>
      <c r="G277" s="16">
        <f>669568/3012*E277</f>
        <v>10737.096414342628</v>
      </c>
      <c r="H277" s="16">
        <f>661670.63/3012*E277+G277*1%</f>
        <v>10717.826285856574</v>
      </c>
      <c r="I277" s="16">
        <f t="shared" si="36"/>
        <v>19.27012848605409</v>
      </c>
      <c r="J277" s="18"/>
    </row>
    <row r="278" spans="1:10" ht="15.75" customHeight="1">
      <c r="A278" s="52">
        <v>266</v>
      </c>
      <c r="B278" s="50" t="s">
        <v>97</v>
      </c>
      <c r="C278" s="29">
        <v>1959</v>
      </c>
      <c r="D278" s="40">
        <v>2</v>
      </c>
      <c r="E278" s="16">
        <v>31.8</v>
      </c>
      <c r="F278" s="19">
        <v>0.1992</v>
      </c>
      <c r="G278" s="16">
        <f>118055.66/159.6*E278</f>
        <v>23522.368345864666</v>
      </c>
      <c r="H278" s="16">
        <f>56765.13/159.6*E278+G278*1%</f>
        <v>11545.569134586467</v>
      </c>
      <c r="I278" s="16">
        <f>G278-H278</f>
        <v>11976.7992112782</v>
      </c>
      <c r="J278" s="18"/>
    </row>
    <row r="279" spans="1:10" ht="15.75" customHeight="1">
      <c r="A279" s="52">
        <v>267</v>
      </c>
      <c r="B279" s="50" t="s">
        <v>98</v>
      </c>
      <c r="C279" s="29">
        <v>1986</v>
      </c>
      <c r="D279" s="40">
        <v>3</v>
      </c>
      <c r="E279" s="16">
        <v>28.1</v>
      </c>
      <c r="F279" s="19">
        <v>0.1806</v>
      </c>
      <c r="G279" s="16">
        <f>108912.98/155.6*E279</f>
        <v>19668.732249357327</v>
      </c>
      <c r="H279" s="16">
        <f>22962.43/155.6*E279</f>
        <v>4146.814158097687</v>
      </c>
      <c r="I279" s="16">
        <f t="shared" si="36"/>
        <v>15521.918091259638</v>
      </c>
      <c r="J279" s="18"/>
    </row>
    <row r="280" spans="1:10" ht="15.75" customHeight="1">
      <c r="A280" s="52">
        <v>268</v>
      </c>
      <c r="B280" s="50" t="s">
        <v>99</v>
      </c>
      <c r="C280" s="29">
        <v>1917</v>
      </c>
      <c r="D280" s="40">
        <v>1</v>
      </c>
      <c r="E280" s="16">
        <v>26.6</v>
      </c>
      <c r="F280" s="19">
        <v>0.1576</v>
      </c>
      <c r="G280" s="16">
        <f>109809.7/168.8*E280</f>
        <v>17304.13518957346</v>
      </c>
      <c r="H280" s="16">
        <f>109809.7/168.8*E280</f>
        <v>17304.13518957346</v>
      </c>
      <c r="I280" s="16">
        <f t="shared" si="36"/>
        <v>0</v>
      </c>
      <c r="J280" s="18"/>
    </row>
    <row r="281" spans="1:10" ht="15.75" customHeight="1">
      <c r="A281" s="52">
        <v>269</v>
      </c>
      <c r="B281" s="50" t="s">
        <v>99</v>
      </c>
      <c r="C281" s="29">
        <v>1917</v>
      </c>
      <c r="D281" s="40">
        <v>3</v>
      </c>
      <c r="E281" s="16">
        <v>35.4</v>
      </c>
      <c r="F281" s="19">
        <v>0.2097</v>
      </c>
      <c r="G281" s="16">
        <f>109809.7/168.8*E281</f>
        <v>23028.811492890993</v>
      </c>
      <c r="H281" s="16">
        <f>109809.7/168.8*E281</f>
        <v>23028.811492890993</v>
      </c>
      <c r="I281" s="16">
        <f t="shared" si="36"/>
        <v>0</v>
      </c>
      <c r="J281" s="18"/>
    </row>
    <row r="282" spans="1:10" ht="15.75" customHeight="1">
      <c r="A282" s="52">
        <v>270</v>
      </c>
      <c r="B282" s="50" t="s">
        <v>99</v>
      </c>
      <c r="C282" s="29">
        <v>1917</v>
      </c>
      <c r="D282" s="40">
        <v>6</v>
      </c>
      <c r="E282" s="16">
        <v>21.3</v>
      </c>
      <c r="F282" s="19">
        <v>0.1262</v>
      </c>
      <c r="G282" s="16">
        <f>109809.7/168.8*E282</f>
        <v>13856.318779620853</v>
      </c>
      <c r="H282" s="16">
        <f>109809.7/168.8*E282</f>
        <v>13856.318779620853</v>
      </c>
      <c r="I282" s="16">
        <f aca="true" t="shared" si="37" ref="I282:I311">G282-H282</f>
        <v>0</v>
      </c>
      <c r="J282" s="18"/>
    </row>
    <row r="283" spans="1:10" ht="15.75" customHeight="1">
      <c r="A283" s="52">
        <v>271</v>
      </c>
      <c r="B283" s="30" t="s">
        <v>100</v>
      </c>
      <c r="C283" s="29">
        <v>1900</v>
      </c>
      <c r="D283" s="40">
        <v>1</v>
      </c>
      <c r="E283" s="16">
        <v>34</v>
      </c>
      <c r="F283" s="19">
        <f>1/74.2*E283</f>
        <v>0.4582210242587601</v>
      </c>
      <c r="G283" s="16">
        <f>34312.01/74.2*E283</f>
        <v>15722.484366576819</v>
      </c>
      <c r="H283" s="16">
        <f>34312.01/74.2*E283</f>
        <v>15722.484366576819</v>
      </c>
      <c r="I283" s="16">
        <f t="shared" si="37"/>
        <v>0</v>
      </c>
      <c r="J283" s="18"/>
    </row>
    <row r="284" spans="1:10" ht="15.75" customHeight="1">
      <c r="A284" s="52">
        <v>272</v>
      </c>
      <c r="B284" s="30" t="s">
        <v>101</v>
      </c>
      <c r="C284" s="29">
        <v>1949</v>
      </c>
      <c r="D284" s="40">
        <v>1</v>
      </c>
      <c r="E284" s="16">
        <v>39.18</v>
      </c>
      <c r="F284" s="19">
        <v>0.10882426464461295</v>
      </c>
      <c r="G284" s="16">
        <f>388850/360.03*E284</f>
        <v>42316.315307057754</v>
      </c>
      <c r="H284" s="16">
        <f>262742.68/360.03*E284+G284*1%</f>
        <v>29015.94209482543</v>
      </c>
      <c r="I284" s="16">
        <f t="shared" si="37"/>
        <v>13300.373212232324</v>
      </c>
      <c r="J284" s="18"/>
    </row>
    <row r="285" spans="1:10" ht="15.75" customHeight="1">
      <c r="A285" s="52">
        <v>273</v>
      </c>
      <c r="B285" s="30" t="s">
        <v>102</v>
      </c>
      <c r="C285" s="29">
        <v>1949</v>
      </c>
      <c r="D285" s="40">
        <v>7</v>
      </c>
      <c r="E285" s="16">
        <v>39.2</v>
      </c>
      <c r="F285" s="19">
        <v>0.08098504255846624</v>
      </c>
      <c r="G285" s="16">
        <f>479121/484.04*E285</f>
        <v>38801.634575654905</v>
      </c>
      <c r="H285" s="16">
        <f>339913.94/484.04*E285+G285*1%</f>
        <v>27915.961242872494</v>
      </c>
      <c r="I285" s="16">
        <f t="shared" si="37"/>
        <v>10885.673332782411</v>
      </c>
      <c r="J285" s="18"/>
    </row>
    <row r="286" spans="1:10" ht="15.75" customHeight="1">
      <c r="A286" s="52">
        <v>274</v>
      </c>
      <c r="B286" s="30" t="s">
        <v>102</v>
      </c>
      <c r="C286" s="29">
        <v>1949</v>
      </c>
      <c r="D286" s="44">
        <v>7</v>
      </c>
      <c r="E286" s="16">
        <v>29.04</v>
      </c>
      <c r="F286" s="19">
        <v>0.05999504173208825</v>
      </c>
      <c r="G286" s="16">
        <f>479121/484.04*E286</f>
        <v>28744.884389719857</v>
      </c>
      <c r="H286" s="16">
        <f>339913.94/484.04*E286+G286*1%</f>
        <v>20680.599859515743</v>
      </c>
      <c r="I286" s="16">
        <f t="shared" si="37"/>
        <v>8064.284530204113</v>
      </c>
      <c r="J286" s="18"/>
    </row>
    <row r="287" spans="1:10" ht="15.75" customHeight="1">
      <c r="A287" s="52">
        <v>275</v>
      </c>
      <c r="B287" s="50" t="s">
        <v>103</v>
      </c>
      <c r="C287" s="29">
        <v>1917</v>
      </c>
      <c r="D287" s="40">
        <v>2</v>
      </c>
      <c r="E287" s="16">
        <v>42.1</v>
      </c>
      <c r="F287" s="19">
        <v>0.6191</v>
      </c>
      <c r="G287" s="16">
        <f>54431.58/68*E287</f>
        <v>33699.55173529412</v>
      </c>
      <c r="H287" s="16">
        <f>54431.58/68*E287</f>
        <v>33699.55173529412</v>
      </c>
      <c r="I287" s="16">
        <f t="shared" si="37"/>
        <v>0</v>
      </c>
      <c r="J287" s="18"/>
    </row>
    <row r="288" spans="1:10" ht="15.75" customHeight="1">
      <c r="A288" s="52">
        <v>276</v>
      </c>
      <c r="B288" s="30" t="s">
        <v>104</v>
      </c>
      <c r="C288" s="29">
        <v>1955</v>
      </c>
      <c r="D288" s="40">
        <v>1</v>
      </c>
      <c r="E288" s="16">
        <v>42.07</v>
      </c>
      <c r="F288" s="19">
        <v>0.06493987620209005</v>
      </c>
      <c r="G288" s="16">
        <f>652107/647.83*E288</f>
        <v>42347.74785051634</v>
      </c>
      <c r="H288" s="16">
        <f>442958.43/647.83*E288+G288*1%</f>
        <v>29189.143085377335</v>
      </c>
      <c r="I288" s="16">
        <f t="shared" si="37"/>
        <v>13158.604765139004</v>
      </c>
      <c r="J288" s="18"/>
    </row>
    <row r="289" spans="1:10" ht="15.75" customHeight="1">
      <c r="A289" s="52">
        <v>277</v>
      </c>
      <c r="B289" s="30" t="s">
        <v>104</v>
      </c>
      <c r="C289" s="29">
        <v>1955</v>
      </c>
      <c r="D289" s="40">
        <v>11</v>
      </c>
      <c r="E289" s="16">
        <v>61.2</v>
      </c>
      <c r="F289" s="19">
        <v>0.0944692280382199</v>
      </c>
      <c r="G289" s="16">
        <f>652107/647.83*E289</f>
        <v>61604.04488831947</v>
      </c>
      <c r="H289" s="16">
        <f>442958.43/647.83*E289+G289*1%</f>
        <v>42461.981384005056</v>
      </c>
      <c r="I289" s="16">
        <f t="shared" si="37"/>
        <v>19142.063504314414</v>
      </c>
      <c r="J289" s="18"/>
    </row>
    <row r="290" spans="1:10" ht="15.75" customHeight="1">
      <c r="A290" s="52">
        <v>278</v>
      </c>
      <c r="B290" s="50" t="s">
        <v>39</v>
      </c>
      <c r="C290" s="51">
        <v>1986</v>
      </c>
      <c r="D290" s="44">
        <v>33</v>
      </c>
      <c r="E290" s="16">
        <v>41</v>
      </c>
      <c r="F290" s="17">
        <v>0.00851693207642804</v>
      </c>
      <c r="G290" s="16">
        <f>6265946.07/4813.94*E290</f>
        <v>53366.63707275122</v>
      </c>
      <c r="H290" s="16">
        <f>1385653.38/4813.94*E290+G290*1%</f>
        <v>12335.182089660446</v>
      </c>
      <c r="I290" s="16">
        <f t="shared" si="37"/>
        <v>41031.45498309077</v>
      </c>
      <c r="J290" s="18"/>
    </row>
    <row r="291" spans="1:10" ht="15.75" customHeight="1">
      <c r="A291" s="52">
        <v>279</v>
      </c>
      <c r="B291" s="50" t="s">
        <v>40</v>
      </c>
      <c r="C291" s="51">
        <v>1988</v>
      </c>
      <c r="D291" s="44">
        <v>32</v>
      </c>
      <c r="E291" s="16">
        <v>52</v>
      </c>
      <c r="F291" s="17">
        <v>0.017075493383246314</v>
      </c>
      <c r="G291" s="16">
        <f>3788489.88/3045.3*E291</f>
        <v>64690.33387843562</v>
      </c>
      <c r="H291" s="16">
        <f>760854.73/3045.3*E291+G291*1%</f>
        <v>13638.873246511015</v>
      </c>
      <c r="I291" s="16">
        <f t="shared" si="37"/>
        <v>51051.4606319246</v>
      </c>
      <c r="J291" s="18"/>
    </row>
    <row r="292" spans="1:10" ht="15.75" customHeight="1">
      <c r="A292" s="52">
        <v>280</v>
      </c>
      <c r="B292" s="30" t="s">
        <v>170</v>
      </c>
      <c r="C292" s="29">
        <v>1978</v>
      </c>
      <c r="D292" s="44">
        <v>29</v>
      </c>
      <c r="E292" s="16">
        <v>48.2</v>
      </c>
      <c r="F292" s="17">
        <v>0.0115</v>
      </c>
      <c r="G292" s="16">
        <f>7699383/4180.8*E292</f>
        <v>88765.3704075775</v>
      </c>
      <c r="H292" s="16">
        <f>2993752.75/4180.8*E292+G292*1%</f>
        <v>35402.31179582855</v>
      </c>
      <c r="I292" s="16">
        <f t="shared" si="37"/>
        <v>53363.05861174895</v>
      </c>
      <c r="J292" s="18"/>
    </row>
    <row r="293" spans="1:10" ht="15.75" customHeight="1">
      <c r="A293" s="52">
        <v>281</v>
      </c>
      <c r="B293" s="30" t="s">
        <v>170</v>
      </c>
      <c r="C293" s="29">
        <v>1978</v>
      </c>
      <c r="D293" s="44">
        <v>51</v>
      </c>
      <c r="E293" s="16">
        <v>47.8</v>
      </c>
      <c r="F293" s="17">
        <v>0.0114</v>
      </c>
      <c r="G293" s="16">
        <f>7699383/4180.8*E293</f>
        <v>88028.72832950631</v>
      </c>
      <c r="H293" s="16">
        <f>2993752.75/4180.8*E293+G293*1%</f>
        <v>35108.516677190964</v>
      </c>
      <c r="I293" s="16">
        <f t="shared" si="37"/>
        <v>52920.211652315345</v>
      </c>
      <c r="J293" s="18"/>
    </row>
    <row r="294" spans="1:10" ht="15.75" customHeight="1">
      <c r="A294" s="52">
        <v>282</v>
      </c>
      <c r="B294" s="30" t="s">
        <v>170</v>
      </c>
      <c r="C294" s="29">
        <v>1978</v>
      </c>
      <c r="D294" s="44">
        <v>53</v>
      </c>
      <c r="E294" s="16">
        <v>48.1</v>
      </c>
      <c r="F294" s="17">
        <v>0.0115</v>
      </c>
      <c r="G294" s="16">
        <f>7699383/4180.8*E294</f>
        <v>88581.2098880597</v>
      </c>
      <c r="H294" s="16">
        <f>2993752.75/4180.8*E294+G294*1%</f>
        <v>35328.863016169154</v>
      </c>
      <c r="I294" s="16">
        <f t="shared" si="37"/>
        <v>53252.34687189055</v>
      </c>
      <c r="J294" s="18"/>
    </row>
    <row r="295" spans="1:10" ht="15.75" customHeight="1">
      <c r="A295" s="52">
        <v>283</v>
      </c>
      <c r="B295" s="30" t="s">
        <v>170</v>
      </c>
      <c r="C295" s="29">
        <v>1978</v>
      </c>
      <c r="D295" s="44">
        <v>85</v>
      </c>
      <c r="E295" s="16">
        <v>48.1</v>
      </c>
      <c r="F295" s="17">
        <v>0.0115</v>
      </c>
      <c r="G295" s="16">
        <f>7699383/4180.8*E295</f>
        <v>88581.2098880597</v>
      </c>
      <c r="H295" s="16">
        <f>2993752.75/4180.8*E295+G295*1%</f>
        <v>35328.863016169154</v>
      </c>
      <c r="I295" s="16">
        <f t="shared" si="37"/>
        <v>53252.34687189055</v>
      </c>
      <c r="J295" s="18"/>
    </row>
    <row r="296" spans="1:10" ht="15.75" customHeight="1">
      <c r="A296" s="52">
        <v>284</v>
      </c>
      <c r="B296" s="30" t="s">
        <v>171</v>
      </c>
      <c r="C296" s="29">
        <v>1980</v>
      </c>
      <c r="D296" s="44">
        <v>10</v>
      </c>
      <c r="E296" s="16">
        <v>51.3</v>
      </c>
      <c r="F296" s="17">
        <v>0.0187</v>
      </c>
      <c r="G296" s="16">
        <f aca="true" t="shared" si="38" ref="G296:G301">12248232/2745.7*E296</f>
        <v>228843.02786174748</v>
      </c>
      <c r="H296" s="16">
        <f aca="true" t="shared" si="39" ref="H296:H301">4640093.5/2745.7*E296+G296*1%</f>
        <v>88982.82389408894</v>
      </c>
      <c r="I296" s="16">
        <f t="shared" si="37"/>
        <v>139860.20396765854</v>
      </c>
      <c r="J296" s="18"/>
    </row>
    <row r="297" spans="1:10" ht="15.75" customHeight="1">
      <c r="A297" s="52">
        <v>285</v>
      </c>
      <c r="B297" s="30" t="s">
        <v>171</v>
      </c>
      <c r="C297" s="29">
        <v>1980</v>
      </c>
      <c r="D297" s="44">
        <v>14</v>
      </c>
      <c r="E297" s="16">
        <v>33.4</v>
      </c>
      <c r="F297" s="17">
        <v>0.0122</v>
      </c>
      <c r="G297" s="16">
        <f t="shared" si="38"/>
        <v>148993.31638562118</v>
      </c>
      <c r="H297" s="16">
        <f t="shared" si="39"/>
        <v>57934.23621954329</v>
      </c>
      <c r="I297" s="16">
        <f t="shared" si="37"/>
        <v>91059.08016607788</v>
      </c>
      <c r="J297" s="18"/>
    </row>
    <row r="298" spans="1:10" ht="15.75" customHeight="1">
      <c r="A298" s="52">
        <v>286</v>
      </c>
      <c r="B298" s="30" t="s">
        <v>171</v>
      </c>
      <c r="C298" s="29">
        <v>1980</v>
      </c>
      <c r="D298" s="44">
        <v>39</v>
      </c>
      <c r="E298" s="16">
        <v>44.9</v>
      </c>
      <c r="F298" s="17">
        <v>0.0164</v>
      </c>
      <c r="G298" s="16">
        <f t="shared" si="38"/>
        <v>200293.41035073026</v>
      </c>
      <c r="H298" s="16">
        <f t="shared" si="39"/>
        <v>77881.65288196088</v>
      </c>
      <c r="I298" s="16">
        <f t="shared" si="37"/>
        <v>122411.75746876939</v>
      </c>
      <c r="J298" s="18"/>
    </row>
    <row r="299" spans="1:10" ht="15.75" customHeight="1">
      <c r="A299" s="52">
        <v>287</v>
      </c>
      <c r="B299" s="30" t="s">
        <v>171</v>
      </c>
      <c r="C299" s="29">
        <v>1980</v>
      </c>
      <c r="D299" s="44">
        <v>41</v>
      </c>
      <c r="E299" s="16">
        <v>33.8</v>
      </c>
      <c r="F299" s="17">
        <v>0.0124</v>
      </c>
      <c r="G299" s="16">
        <f t="shared" si="38"/>
        <v>150777.66748005972</v>
      </c>
      <c r="H299" s="16">
        <f t="shared" si="39"/>
        <v>58628.05940780129</v>
      </c>
      <c r="I299" s="16">
        <f t="shared" si="37"/>
        <v>92149.60807225844</v>
      </c>
      <c r="J299" s="18"/>
    </row>
    <row r="300" spans="1:10" ht="15.75" customHeight="1">
      <c r="A300" s="52">
        <v>288</v>
      </c>
      <c r="B300" s="30" t="s">
        <v>171</v>
      </c>
      <c r="C300" s="29">
        <v>1980</v>
      </c>
      <c r="D300" s="44">
        <v>48</v>
      </c>
      <c r="E300" s="16">
        <v>50.9</v>
      </c>
      <c r="F300" s="17">
        <v>0.0185</v>
      </c>
      <c r="G300" s="16">
        <f t="shared" si="38"/>
        <v>227058.6767673089</v>
      </c>
      <c r="H300" s="16">
        <f t="shared" si="39"/>
        <v>88289.00070583093</v>
      </c>
      <c r="I300" s="16">
        <f t="shared" si="37"/>
        <v>138769.67606147798</v>
      </c>
      <c r="J300" s="18"/>
    </row>
    <row r="301" spans="1:10" ht="15.75" customHeight="1">
      <c r="A301" s="52">
        <v>289</v>
      </c>
      <c r="B301" s="30" t="s">
        <v>171</v>
      </c>
      <c r="C301" s="29">
        <v>1980</v>
      </c>
      <c r="D301" s="44">
        <v>60</v>
      </c>
      <c r="E301" s="16">
        <v>51</v>
      </c>
      <c r="F301" s="17">
        <v>0.0186</v>
      </c>
      <c r="G301" s="16">
        <f t="shared" si="38"/>
        <v>227504.76454091855</v>
      </c>
      <c r="H301" s="16">
        <f t="shared" si="39"/>
        <v>88462.45650289544</v>
      </c>
      <c r="I301" s="16">
        <f t="shared" si="37"/>
        <v>139042.30803802313</v>
      </c>
      <c r="J301" s="18"/>
    </row>
    <row r="302" spans="1:10" ht="15.75" customHeight="1">
      <c r="A302" s="52">
        <v>290</v>
      </c>
      <c r="B302" s="30" t="s">
        <v>206</v>
      </c>
      <c r="C302" s="29">
        <v>1972</v>
      </c>
      <c r="D302" s="44">
        <v>4</v>
      </c>
      <c r="E302" s="16">
        <v>10.6</v>
      </c>
      <c r="F302" s="17">
        <v>0.0097</v>
      </c>
      <c r="G302" s="16">
        <v>48826.69</v>
      </c>
      <c r="H302" s="16" t="s">
        <v>207</v>
      </c>
      <c r="I302" s="16">
        <v>24328.2</v>
      </c>
      <c r="J302" s="18"/>
    </row>
    <row r="303" spans="1:10" ht="15.75" customHeight="1">
      <c r="A303" s="52">
        <v>291</v>
      </c>
      <c r="B303" s="30" t="s">
        <v>206</v>
      </c>
      <c r="C303" s="29">
        <v>1972</v>
      </c>
      <c r="D303" s="44">
        <v>7</v>
      </c>
      <c r="E303" s="16">
        <v>22.2</v>
      </c>
      <c r="F303" s="17">
        <f aca="true" t="shared" si="40" ref="F303:F318">1/1083*E303</f>
        <v>0.020498614958448753</v>
      </c>
      <c r="G303" s="16">
        <f>5036124/1083*E303</f>
        <v>103233.56675900277</v>
      </c>
      <c r="H303" s="16">
        <f>2476482.89/1083*E303+G303*1%</f>
        <v>51796.804880886426</v>
      </c>
      <c r="I303" s="16">
        <f>G303-H303</f>
        <v>51436.76187811635</v>
      </c>
      <c r="J303" s="18"/>
    </row>
    <row r="304" spans="1:10" ht="15.75" customHeight="1">
      <c r="A304" s="52">
        <v>292</v>
      </c>
      <c r="B304" s="30" t="s">
        <v>206</v>
      </c>
      <c r="C304" s="29">
        <v>1972</v>
      </c>
      <c r="D304" s="44">
        <v>8</v>
      </c>
      <c r="E304" s="16">
        <v>10.9</v>
      </c>
      <c r="F304" s="17">
        <v>0.0101</v>
      </c>
      <c r="G304" s="16">
        <v>50686.75</v>
      </c>
      <c r="H304" s="16">
        <v>25431.76</v>
      </c>
      <c r="I304" s="16">
        <v>25254.99</v>
      </c>
      <c r="J304" s="18"/>
    </row>
    <row r="305" spans="1:10" ht="15.75" customHeight="1">
      <c r="A305" s="52">
        <v>293</v>
      </c>
      <c r="B305" s="30" t="s">
        <v>206</v>
      </c>
      <c r="C305" s="29">
        <v>1972</v>
      </c>
      <c r="D305" s="44">
        <v>9</v>
      </c>
      <c r="E305" s="16">
        <v>11.3</v>
      </c>
      <c r="F305" s="17">
        <f t="shared" si="40"/>
        <v>0.010433979686057249</v>
      </c>
      <c r="G305" s="16">
        <f>5036124/1083*E305</f>
        <v>52546.81551246538</v>
      </c>
      <c r="H305" s="16">
        <f>2476482.89/1083*E305+G305*1%</f>
        <v>26365.040322253004</v>
      </c>
      <c r="I305" s="16">
        <f>G305-H305</f>
        <v>26181.775190212375</v>
      </c>
      <c r="J305" s="18"/>
    </row>
    <row r="306" spans="1:10" ht="15.75" customHeight="1">
      <c r="A306" s="52">
        <v>294</v>
      </c>
      <c r="B306" s="30" t="s">
        <v>206</v>
      </c>
      <c r="C306" s="29">
        <v>1972</v>
      </c>
      <c r="D306" s="44">
        <v>11</v>
      </c>
      <c r="E306" s="16">
        <v>10.5</v>
      </c>
      <c r="F306" s="17">
        <f t="shared" si="40"/>
        <v>0.009695290858725761</v>
      </c>
      <c r="G306" s="16">
        <f>5036124/1083*E306</f>
        <v>48826.68698060942</v>
      </c>
      <c r="H306" s="16">
        <f>2476482.89/1083*E306+G306*1%</f>
        <v>24498.48879501385</v>
      </c>
      <c r="I306" s="16">
        <f>G306-H306</f>
        <v>24328.198185595567</v>
      </c>
      <c r="J306" s="18"/>
    </row>
    <row r="307" spans="1:10" ht="15.75" customHeight="1">
      <c r="A307" s="52">
        <v>295</v>
      </c>
      <c r="B307" s="30" t="s">
        <v>206</v>
      </c>
      <c r="C307" s="29">
        <v>1972</v>
      </c>
      <c r="D307" s="44">
        <v>15</v>
      </c>
      <c r="E307" s="16">
        <v>10.5</v>
      </c>
      <c r="F307" s="17">
        <f t="shared" si="40"/>
        <v>0.009695290858725761</v>
      </c>
      <c r="G307" s="16">
        <f aca="true" t="shared" si="41" ref="G307:G318">5036124/1083*E307</f>
        <v>48826.68698060942</v>
      </c>
      <c r="H307" s="16">
        <f aca="true" t="shared" si="42" ref="H307:H318">2476482.89/1083*E307+G307*1%</f>
        <v>24498.48879501385</v>
      </c>
      <c r="I307" s="16">
        <f t="shared" si="37"/>
        <v>24328.198185595567</v>
      </c>
      <c r="J307" s="18"/>
    </row>
    <row r="308" spans="1:10" ht="15.75" customHeight="1">
      <c r="A308" s="52">
        <v>296</v>
      </c>
      <c r="B308" s="30" t="s">
        <v>206</v>
      </c>
      <c r="C308" s="29">
        <v>1972</v>
      </c>
      <c r="D308" s="44">
        <v>33</v>
      </c>
      <c r="E308" s="16">
        <v>10.5</v>
      </c>
      <c r="F308" s="17">
        <f t="shared" si="40"/>
        <v>0.009695290858725761</v>
      </c>
      <c r="G308" s="16">
        <f t="shared" si="41"/>
        <v>48826.68698060942</v>
      </c>
      <c r="H308" s="16">
        <f t="shared" si="42"/>
        <v>24498.48879501385</v>
      </c>
      <c r="I308" s="16">
        <f t="shared" si="37"/>
        <v>24328.198185595567</v>
      </c>
      <c r="J308" s="18"/>
    </row>
    <row r="309" spans="1:10" ht="15.75" customHeight="1">
      <c r="A309" s="52">
        <v>297</v>
      </c>
      <c r="B309" s="30" t="s">
        <v>206</v>
      </c>
      <c r="C309" s="29">
        <v>1972</v>
      </c>
      <c r="D309" s="44">
        <v>34</v>
      </c>
      <c r="E309" s="16">
        <v>10.5</v>
      </c>
      <c r="F309" s="17">
        <f t="shared" si="40"/>
        <v>0.009695290858725761</v>
      </c>
      <c r="G309" s="16">
        <f t="shared" si="41"/>
        <v>48826.68698060942</v>
      </c>
      <c r="H309" s="16">
        <f t="shared" si="42"/>
        <v>24498.48879501385</v>
      </c>
      <c r="I309" s="16">
        <f t="shared" si="37"/>
        <v>24328.198185595567</v>
      </c>
      <c r="J309" s="18"/>
    </row>
    <row r="310" spans="1:10" ht="15.75" customHeight="1">
      <c r="A310" s="52">
        <v>298</v>
      </c>
      <c r="B310" s="30" t="s">
        <v>206</v>
      </c>
      <c r="C310" s="29">
        <v>1972</v>
      </c>
      <c r="D310" s="44">
        <v>35</v>
      </c>
      <c r="E310" s="16">
        <v>10.5</v>
      </c>
      <c r="F310" s="17">
        <f t="shared" si="40"/>
        <v>0.009695290858725761</v>
      </c>
      <c r="G310" s="16">
        <f t="shared" si="41"/>
        <v>48826.68698060942</v>
      </c>
      <c r="H310" s="16">
        <f t="shared" si="42"/>
        <v>24498.48879501385</v>
      </c>
      <c r="I310" s="16">
        <f t="shared" si="37"/>
        <v>24328.198185595567</v>
      </c>
      <c r="J310" s="18"/>
    </row>
    <row r="311" spans="1:10" ht="15.75" customHeight="1">
      <c r="A311" s="52">
        <v>299</v>
      </c>
      <c r="B311" s="30" t="s">
        <v>206</v>
      </c>
      <c r="C311" s="29">
        <v>1972</v>
      </c>
      <c r="D311" s="44">
        <v>38</v>
      </c>
      <c r="E311" s="16">
        <v>5.5</v>
      </c>
      <c r="F311" s="17">
        <f t="shared" si="40"/>
        <v>0.0050784856879039705</v>
      </c>
      <c r="G311" s="16">
        <f t="shared" si="41"/>
        <v>25575.883656509697</v>
      </c>
      <c r="H311" s="16">
        <f t="shared" si="42"/>
        <v>12832.54174976916</v>
      </c>
      <c r="I311" s="16">
        <f t="shared" si="37"/>
        <v>12743.341906740538</v>
      </c>
      <c r="J311" s="18"/>
    </row>
    <row r="312" spans="1:10" ht="15.75" customHeight="1">
      <c r="A312" s="52">
        <v>300</v>
      </c>
      <c r="B312" s="30" t="s">
        <v>206</v>
      </c>
      <c r="C312" s="29">
        <v>1972</v>
      </c>
      <c r="D312" s="44">
        <v>41</v>
      </c>
      <c r="E312" s="16">
        <v>10.1</v>
      </c>
      <c r="F312" s="17">
        <f t="shared" si="40"/>
        <v>0.009325946445060018</v>
      </c>
      <c r="G312" s="16">
        <f t="shared" si="41"/>
        <v>46966.62271468144</v>
      </c>
      <c r="H312" s="16">
        <f t="shared" si="42"/>
        <v>23565.213031394276</v>
      </c>
      <c r="I312" s="16">
        <f aca="true" t="shared" si="43" ref="I312:I339">G312-H312</f>
        <v>23401.409683287166</v>
      </c>
      <c r="J312" s="18"/>
    </row>
    <row r="313" spans="1:10" ht="15.75" customHeight="1">
      <c r="A313" s="52">
        <v>301</v>
      </c>
      <c r="B313" s="30" t="s">
        <v>206</v>
      </c>
      <c r="C313" s="29">
        <v>1972</v>
      </c>
      <c r="D313" s="44">
        <v>44</v>
      </c>
      <c r="E313" s="16">
        <v>16.2</v>
      </c>
      <c r="F313" s="17">
        <f t="shared" si="40"/>
        <v>0.014958448753462602</v>
      </c>
      <c r="G313" s="16">
        <f t="shared" si="41"/>
        <v>75332.6027700831</v>
      </c>
      <c r="H313" s="16">
        <f t="shared" si="42"/>
        <v>37797.6684265928</v>
      </c>
      <c r="I313" s="16">
        <f t="shared" si="43"/>
        <v>37534.934343490306</v>
      </c>
      <c r="J313" s="18"/>
    </row>
    <row r="314" spans="1:10" ht="15.75" customHeight="1">
      <c r="A314" s="52">
        <v>302</v>
      </c>
      <c r="B314" s="30" t="s">
        <v>206</v>
      </c>
      <c r="C314" s="29">
        <v>1972</v>
      </c>
      <c r="D314" s="44">
        <v>46</v>
      </c>
      <c r="E314" s="16">
        <v>15.1</v>
      </c>
      <c r="F314" s="17">
        <f t="shared" si="40"/>
        <v>0.013942751615881809</v>
      </c>
      <c r="G314" s="16">
        <f t="shared" si="41"/>
        <v>70217.42603878117</v>
      </c>
      <c r="H314" s="16">
        <f t="shared" si="42"/>
        <v>35231.16007663896</v>
      </c>
      <c r="I314" s="16">
        <f t="shared" si="43"/>
        <v>34986.265962142206</v>
      </c>
      <c r="J314" s="18"/>
    </row>
    <row r="315" spans="1:10" ht="15.75" customHeight="1">
      <c r="A315" s="52">
        <v>303</v>
      </c>
      <c r="B315" s="30" t="s">
        <v>206</v>
      </c>
      <c r="C315" s="29">
        <v>1972</v>
      </c>
      <c r="D315" s="44">
        <v>48</v>
      </c>
      <c r="E315" s="16">
        <v>15.1</v>
      </c>
      <c r="F315" s="17">
        <f t="shared" si="40"/>
        <v>0.013942751615881809</v>
      </c>
      <c r="G315" s="16">
        <f t="shared" si="41"/>
        <v>70217.42603878117</v>
      </c>
      <c r="H315" s="16">
        <f t="shared" si="42"/>
        <v>35231.16007663896</v>
      </c>
      <c r="I315" s="16">
        <f t="shared" si="43"/>
        <v>34986.265962142206</v>
      </c>
      <c r="J315" s="18"/>
    </row>
    <row r="316" spans="1:10" ht="15.75" customHeight="1">
      <c r="A316" s="52">
        <v>304</v>
      </c>
      <c r="B316" s="30" t="s">
        <v>206</v>
      </c>
      <c r="C316" s="29">
        <v>1972</v>
      </c>
      <c r="D316" s="44">
        <v>50</v>
      </c>
      <c r="E316" s="16">
        <v>16.2</v>
      </c>
      <c r="F316" s="17">
        <f t="shared" si="40"/>
        <v>0.014958448753462602</v>
      </c>
      <c r="G316" s="16">
        <f t="shared" si="41"/>
        <v>75332.6027700831</v>
      </c>
      <c r="H316" s="16">
        <f t="shared" si="42"/>
        <v>37797.6684265928</v>
      </c>
      <c r="I316" s="16">
        <f t="shared" si="43"/>
        <v>37534.934343490306</v>
      </c>
      <c r="J316" s="18"/>
    </row>
    <row r="317" spans="1:10" ht="15.75" customHeight="1">
      <c r="A317" s="52">
        <v>305</v>
      </c>
      <c r="B317" s="30" t="s">
        <v>206</v>
      </c>
      <c r="C317" s="29">
        <v>1972</v>
      </c>
      <c r="D317" s="44">
        <v>51</v>
      </c>
      <c r="E317" s="16">
        <v>11.3</v>
      </c>
      <c r="F317" s="17">
        <f t="shared" si="40"/>
        <v>0.010433979686057249</v>
      </c>
      <c r="G317" s="16">
        <f t="shared" si="41"/>
        <v>52546.81551246538</v>
      </c>
      <c r="H317" s="16">
        <f t="shared" si="42"/>
        <v>26365.040322253004</v>
      </c>
      <c r="I317" s="16">
        <f t="shared" si="43"/>
        <v>26181.775190212375</v>
      </c>
      <c r="J317" s="18"/>
    </row>
    <row r="318" spans="1:10" ht="15.75" customHeight="1">
      <c r="A318" s="52">
        <v>306</v>
      </c>
      <c r="B318" s="30" t="s">
        <v>206</v>
      </c>
      <c r="C318" s="29">
        <v>1972</v>
      </c>
      <c r="D318" s="44">
        <v>53</v>
      </c>
      <c r="E318" s="16">
        <v>10.5</v>
      </c>
      <c r="F318" s="17">
        <f t="shared" si="40"/>
        <v>0.009695290858725761</v>
      </c>
      <c r="G318" s="16">
        <f t="shared" si="41"/>
        <v>48826.68698060942</v>
      </c>
      <c r="H318" s="16">
        <f t="shared" si="42"/>
        <v>24498.48879501385</v>
      </c>
      <c r="I318" s="16">
        <f t="shared" si="43"/>
        <v>24328.198185595567</v>
      </c>
      <c r="J318" s="18"/>
    </row>
    <row r="319" spans="1:10" ht="15.75" customHeight="1">
      <c r="A319" s="52">
        <v>307</v>
      </c>
      <c r="B319" s="50" t="s">
        <v>41</v>
      </c>
      <c r="C319" s="51">
        <v>1958</v>
      </c>
      <c r="D319" s="44">
        <v>2</v>
      </c>
      <c r="E319" s="16">
        <v>31.9</v>
      </c>
      <c r="F319" s="17">
        <v>0.428763440860215</v>
      </c>
      <c r="G319" s="16">
        <f>74527.12/74.4*E319</f>
        <v>31954.504408602144</v>
      </c>
      <c r="H319" s="16">
        <f>66580.67/74.4*E319+G319*1%</f>
        <v>28866.90220806451</v>
      </c>
      <c r="I319" s="16">
        <f t="shared" si="43"/>
        <v>3087.6022005376326</v>
      </c>
      <c r="J319" s="18"/>
    </row>
    <row r="320" spans="1:10" ht="15.75" customHeight="1">
      <c r="A320" s="52">
        <v>308</v>
      </c>
      <c r="B320" s="30" t="s">
        <v>143</v>
      </c>
      <c r="C320" s="29">
        <v>1917</v>
      </c>
      <c r="D320" s="44">
        <v>5</v>
      </c>
      <c r="E320" s="16">
        <v>22.7</v>
      </c>
      <c r="F320" s="17">
        <v>0.05595267438994331</v>
      </c>
      <c r="G320" s="16">
        <f>214569.15/406.6*E320</f>
        <v>11979.143396458434</v>
      </c>
      <c r="H320" s="16">
        <f>214569.15/406.6*E320</f>
        <v>11979.143396458434</v>
      </c>
      <c r="I320" s="16">
        <f t="shared" si="43"/>
        <v>0</v>
      </c>
      <c r="J320" s="18"/>
    </row>
    <row r="321" spans="1:10" ht="15.75" customHeight="1">
      <c r="A321" s="52">
        <v>309</v>
      </c>
      <c r="B321" s="30" t="s">
        <v>144</v>
      </c>
      <c r="C321" s="29">
        <v>1968</v>
      </c>
      <c r="D321" s="44">
        <v>4</v>
      </c>
      <c r="E321" s="16">
        <v>59.5</v>
      </c>
      <c r="F321" s="17">
        <v>0.07966260543580131</v>
      </c>
      <c r="G321" s="16">
        <f>864472/746.9*E321</f>
        <v>68866.09184629803</v>
      </c>
      <c r="H321" s="16">
        <f>283115.3/746.9*E321+G321*1%</f>
        <v>23242.3633552015</v>
      </c>
      <c r="I321" s="16">
        <f t="shared" si="43"/>
        <v>45623.72849109653</v>
      </c>
      <c r="J321" s="18"/>
    </row>
    <row r="322" spans="1:10" ht="15.75" customHeight="1">
      <c r="A322" s="52">
        <v>310</v>
      </c>
      <c r="B322" s="30" t="s">
        <v>172</v>
      </c>
      <c r="C322" s="29">
        <v>1975</v>
      </c>
      <c r="D322" s="44">
        <v>19</v>
      </c>
      <c r="E322" s="16">
        <v>46</v>
      </c>
      <c r="F322" s="17">
        <v>0.0113</v>
      </c>
      <c r="G322" s="16">
        <f aca="true" t="shared" si="44" ref="G322:G328">7699383/4077.8*E322</f>
        <v>86853.60194222374</v>
      </c>
      <c r="H322" s="16">
        <f aca="true" t="shared" si="45" ref="H322:H328">3224797.75/4077.8*E322+G322*1%</f>
        <v>37246.16525577517</v>
      </c>
      <c r="I322" s="16">
        <f t="shared" si="43"/>
        <v>49607.43668644857</v>
      </c>
      <c r="J322" s="18"/>
    </row>
    <row r="323" spans="1:10" ht="15.75" customHeight="1">
      <c r="A323" s="52">
        <v>311</v>
      </c>
      <c r="B323" s="30" t="s">
        <v>172</v>
      </c>
      <c r="C323" s="29">
        <v>1975</v>
      </c>
      <c r="D323" s="44">
        <v>24</v>
      </c>
      <c r="E323" s="16">
        <v>47.1</v>
      </c>
      <c r="F323" s="17">
        <v>0.0116</v>
      </c>
      <c r="G323" s="16">
        <f t="shared" si="44"/>
        <v>88930.5359017117</v>
      </c>
      <c r="H323" s="16">
        <f t="shared" si="45"/>
        <v>38136.83442493501</v>
      </c>
      <c r="I323" s="16">
        <f t="shared" si="43"/>
        <v>50793.70147677669</v>
      </c>
      <c r="J323" s="18"/>
    </row>
    <row r="324" spans="1:10" ht="15.75" customHeight="1">
      <c r="A324" s="52">
        <v>312</v>
      </c>
      <c r="B324" s="30" t="s">
        <v>172</v>
      </c>
      <c r="C324" s="29">
        <v>1975</v>
      </c>
      <c r="D324" s="44">
        <v>29</v>
      </c>
      <c r="E324" s="16">
        <v>47.1</v>
      </c>
      <c r="F324" s="17">
        <v>0.0116</v>
      </c>
      <c r="G324" s="16">
        <f t="shared" si="44"/>
        <v>88930.5359017117</v>
      </c>
      <c r="H324" s="16">
        <f t="shared" si="45"/>
        <v>38136.83442493501</v>
      </c>
      <c r="I324" s="16">
        <f t="shared" si="43"/>
        <v>50793.70147677669</v>
      </c>
      <c r="J324" s="18"/>
    </row>
    <row r="325" spans="1:10" ht="15.75" customHeight="1">
      <c r="A325" s="52">
        <v>313</v>
      </c>
      <c r="B325" s="30" t="s">
        <v>172</v>
      </c>
      <c r="C325" s="29">
        <v>1975</v>
      </c>
      <c r="D325" s="44">
        <v>58</v>
      </c>
      <c r="E325" s="16">
        <v>47.3</v>
      </c>
      <c r="F325" s="17">
        <v>0.0116</v>
      </c>
      <c r="G325" s="16">
        <f t="shared" si="44"/>
        <v>89308.16025798224</v>
      </c>
      <c r="H325" s="16">
        <f t="shared" si="45"/>
        <v>38298.77427387316</v>
      </c>
      <c r="I325" s="16">
        <f t="shared" si="43"/>
        <v>51009.385984109074</v>
      </c>
      <c r="J325" s="18"/>
    </row>
    <row r="326" spans="1:10" ht="15.75" customHeight="1">
      <c r="A326" s="52">
        <v>314</v>
      </c>
      <c r="B326" s="30" t="s">
        <v>172</v>
      </c>
      <c r="C326" s="29">
        <v>1975</v>
      </c>
      <c r="D326" s="44">
        <v>60</v>
      </c>
      <c r="E326" s="16">
        <v>47.5</v>
      </c>
      <c r="F326" s="17">
        <v>0.0116</v>
      </c>
      <c r="G326" s="16">
        <f t="shared" si="44"/>
        <v>89685.78461425277</v>
      </c>
      <c r="H326" s="16">
        <f t="shared" si="45"/>
        <v>38460.71412281132</v>
      </c>
      <c r="I326" s="16">
        <f t="shared" si="43"/>
        <v>51225.07049144145</v>
      </c>
      <c r="J326" s="18"/>
    </row>
    <row r="327" spans="1:10" ht="15.75" customHeight="1">
      <c r="A327" s="52">
        <v>315</v>
      </c>
      <c r="B327" s="30" t="s">
        <v>172</v>
      </c>
      <c r="C327" s="29">
        <v>1975</v>
      </c>
      <c r="D327" s="44">
        <v>84</v>
      </c>
      <c r="E327" s="16">
        <v>48.9</v>
      </c>
      <c r="F327" s="17">
        <v>0.012</v>
      </c>
      <c r="G327" s="16">
        <f t="shared" si="44"/>
        <v>92329.15510814654</v>
      </c>
      <c r="H327" s="16">
        <f t="shared" si="45"/>
        <v>39594.293065378384</v>
      </c>
      <c r="I327" s="16">
        <f t="shared" si="43"/>
        <v>52734.86204276816</v>
      </c>
      <c r="J327" s="18"/>
    </row>
    <row r="328" spans="1:10" ht="15.75" customHeight="1">
      <c r="A328" s="52">
        <v>316</v>
      </c>
      <c r="B328" s="30" t="s">
        <v>172</v>
      </c>
      <c r="C328" s="29">
        <v>1975</v>
      </c>
      <c r="D328" s="44">
        <v>90</v>
      </c>
      <c r="E328" s="16">
        <v>49.9</v>
      </c>
      <c r="F328" s="17">
        <v>0.0122</v>
      </c>
      <c r="G328" s="16">
        <f t="shared" si="44"/>
        <v>94217.27688949923</v>
      </c>
      <c r="H328" s="16">
        <f t="shared" si="45"/>
        <v>40403.99231006915</v>
      </c>
      <c r="I328" s="16">
        <f t="shared" si="43"/>
        <v>53813.28457943008</v>
      </c>
      <c r="J328" s="18"/>
    </row>
    <row r="329" spans="1:10" ht="15.75" customHeight="1">
      <c r="A329" s="52">
        <v>317</v>
      </c>
      <c r="B329" s="30" t="s">
        <v>173</v>
      </c>
      <c r="C329" s="29">
        <v>1971</v>
      </c>
      <c r="D329" s="44">
        <v>2</v>
      </c>
      <c r="E329" s="16">
        <v>43.2</v>
      </c>
      <c r="F329" s="17">
        <v>0.012</v>
      </c>
      <c r="G329" s="16">
        <f aca="true" t="shared" si="46" ref="G329:G334">10402500.15/3604.8*E329</f>
        <v>124663.78342210386</v>
      </c>
      <c r="H329" s="16">
        <f aca="true" t="shared" si="47" ref="H329:H334">4877038.75/3604.8*E329+G329*1%</f>
        <v>59693.17411917444</v>
      </c>
      <c r="I329" s="16">
        <f t="shared" si="43"/>
        <v>64970.60930292943</v>
      </c>
      <c r="J329" s="18"/>
    </row>
    <row r="330" spans="1:10" ht="15.75" customHeight="1">
      <c r="A330" s="52">
        <v>318</v>
      </c>
      <c r="B330" s="30" t="s">
        <v>173</v>
      </c>
      <c r="C330" s="29">
        <v>1971</v>
      </c>
      <c r="D330" s="44">
        <v>20</v>
      </c>
      <c r="E330" s="16">
        <v>46.2</v>
      </c>
      <c r="F330" s="17">
        <v>0.0128</v>
      </c>
      <c r="G330" s="16">
        <f t="shared" si="46"/>
        <v>133320.9906041944</v>
      </c>
      <c r="H330" s="16">
        <f t="shared" si="47"/>
        <v>63838.53343300599</v>
      </c>
      <c r="I330" s="16">
        <f t="shared" si="43"/>
        <v>69482.4571711884</v>
      </c>
      <c r="J330" s="18"/>
    </row>
    <row r="331" spans="1:10" ht="15.75" customHeight="1">
      <c r="A331" s="52">
        <v>319</v>
      </c>
      <c r="B331" s="30" t="s">
        <v>173</v>
      </c>
      <c r="C331" s="29">
        <v>1971</v>
      </c>
      <c r="D331" s="44">
        <v>50</v>
      </c>
      <c r="E331" s="16">
        <v>46.4</v>
      </c>
      <c r="F331" s="17">
        <v>0.0129</v>
      </c>
      <c r="G331" s="16">
        <f t="shared" si="46"/>
        <v>133898.1377496671</v>
      </c>
      <c r="H331" s="16">
        <f t="shared" si="47"/>
        <v>64114.890720594754</v>
      </c>
      <c r="I331" s="16">
        <f t="shared" si="43"/>
        <v>69783.24702907234</v>
      </c>
      <c r="J331" s="18"/>
    </row>
    <row r="332" spans="1:10" ht="15.75" customHeight="1">
      <c r="A332" s="52">
        <v>320</v>
      </c>
      <c r="B332" s="30" t="s">
        <v>173</v>
      </c>
      <c r="C332" s="29">
        <v>1971</v>
      </c>
      <c r="D332" s="44">
        <v>55</v>
      </c>
      <c r="E332" s="16">
        <v>58.1</v>
      </c>
      <c r="F332" s="17">
        <v>0.0161</v>
      </c>
      <c r="G332" s="16">
        <f t="shared" si="46"/>
        <v>167661.24575982025</v>
      </c>
      <c r="H332" s="16">
        <f t="shared" si="47"/>
        <v>80281.79204453783</v>
      </c>
      <c r="I332" s="16">
        <f t="shared" si="43"/>
        <v>87379.45371528242</v>
      </c>
      <c r="J332" s="18"/>
    </row>
    <row r="333" spans="1:10" ht="15.75" customHeight="1">
      <c r="A333" s="52">
        <v>321</v>
      </c>
      <c r="B333" s="30" t="s">
        <v>173</v>
      </c>
      <c r="C333" s="29">
        <v>1971</v>
      </c>
      <c r="D333" s="44">
        <v>57</v>
      </c>
      <c r="E333" s="16">
        <v>45.3</v>
      </c>
      <c r="F333" s="17">
        <v>0.0126</v>
      </c>
      <c r="G333" s="16">
        <f t="shared" si="46"/>
        <v>130723.82844956723</v>
      </c>
      <c r="H333" s="16">
        <f t="shared" si="47"/>
        <v>62594.92563885652</v>
      </c>
      <c r="I333" s="16">
        <f t="shared" si="43"/>
        <v>68128.90281071072</v>
      </c>
      <c r="J333" s="18"/>
    </row>
    <row r="334" spans="1:10" ht="15.75" customHeight="1">
      <c r="A334" s="52">
        <v>322</v>
      </c>
      <c r="B334" s="30" t="s">
        <v>173</v>
      </c>
      <c r="C334" s="29">
        <v>1971</v>
      </c>
      <c r="D334" s="44">
        <v>79</v>
      </c>
      <c r="E334" s="16">
        <v>43.6</v>
      </c>
      <c r="F334" s="17">
        <v>0.0121</v>
      </c>
      <c r="G334" s="16">
        <f t="shared" si="46"/>
        <v>125818.07771304926</v>
      </c>
      <c r="H334" s="16">
        <f t="shared" si="47"/>
        <v>60245.888694351976</v>
      </c>
      <c r="I334" s="16">
        <f t="shared" si="43"/>
        <v>65572.18901869729</v>
      </c>
      <c r="J334" s="18"/>
    </row>
    <row r="335" spans="1:10" ht="15.75" customHeight="1">
      <c r="A335" s="52">
        <v>323</v>
      </c>
      <c r="B335" s="30" t="s">
        <v>174</v>
      </c>
      <c r="C335" s="29">
        <v>1972</v>
      </c>
      <c r="D335" s="44">
        <v>3</v>
      </c>
      <c r="E335" s="16">
        <v>46.7</v>
      </c>
      <c r="F335" s="17">
        <f>1/3611*46.7</f>
        <v>0.012932705621711438</v>
      </c>
      <c r="G335" s="16">
        <f aca="true" t="shared" si="48" ref="G335:G341">10402500/3611*E335</f>
        <v>134532.47022985324</v>
      </c>
      <c r="H335" s="16">
        <f>4877038.75/3611*E335+G335*1%</f>
        <v>64418.63116172805</v>
      </c>
      <c r="I335" s="16">
        <f t="shared" si="43"/>
        <v>70113.83906812518</v>
      </c>
      <c r="J335" s="18"/>
    </row>
    <row r="336" spans="1:10" ht="15.75" customHeight="1">
      <c r="A336" s="52">
        <v>324</v>
      </c>
      <c r="B336" s="30" t="s">
        <v>174</v>
      </c>
      <c r="C336" s="29">
        <v>1972</v>
      </c>
      <c r="D336" s="44">
        <v>22</v>
      </c>
      <c r="E336" s="16">
        <v>47.2</v>
      </c>
      <c r="F336" s="17">
        <v>0.013071171420659097</v>
      </c>
      <c r="G336" s="16">
        <f t="shared" si="48"/>
        <v>135972.86070340627</v>
      </c>
      <c r="H336" s="16">
        <f aca="true" t="shared" si="49" ref="H336:H341">4877038.75/3611*E336+G336*1%</f>
        <v>65108.33813348103</v>
      </c>
      <c r="I336" s="16">
        <f t="shared" si="43"/>
        <v>70864.52256992523</v>
      </c>
      <c r="J336" s="18"/>
    </row>
    <row r="337" spans="1:10" ht="15.75" customHeight="1">
      <c r="A337" s="52">
        <v>325</v>
      </c>
      <c r="B337" s="30" t="s">
        <v>174</v>
      </c>
      <c r="C337" s="29">
        <v>1972</v>
      </c>
      <c r="D337" s="44">
        <v>38</v>
      </c>
      <c r="E337" s="16">
        <v>47.2</v>
      </c>
      <c r="F337" s="17">
        <v>0.013071171420659097</v>
      </c>
      <c r="G337" s="16">
        <f t="shared" si="48"/>
        <v>135972.86070340627</v>
      </c>
      <c r="H337" s="16">
        <f t="shared" si="49"/>
        <v>65108.33813348103</v>
      </c>
      <c r="I337" s="16">
        <f t="shared" si="43"/>
        <v>70864.52256992523</v>
      </c>
      <c r="J337" s="18"/>
    </row>
    <row r="338" spans="1:10" ht="15.75" customHeight="1">
      <c r="A338" s="52">
        <v>326</v>
      </c>
      <c r="B338" s="30" t="s">
        <v>174</v>
      </c>
      <c r="C338" s="29">
        <v>1972</v>
      </c>
      <c r="D338" s="44">
        <v>48</v>
      </c>
      <c r="E338" s="16">
        <v>45.3</v>
      </c>
      <c r="F338" s="17">
        <f>1/3611*45.3</f>
        <v>0.012545001384657988</v>
      </c>
      <c r="G338" s="16">
        <f t="shared" si="48"/>
        <v>130499.37690390473</v>
      </c>
      <c r="H338" s="16">
        <f t="shared" si="49"/>
        <v>62487.451640819716</v>
      </c>
      <c r="I338" s="16">
        <f t="shared" si="43"/>
        <v>68011.92526308502</v>
      </c>
      <c r="J338" s="18"/>
    </row>
    <row r="339" spans="1:10" ht="15.75" customHeight="1">
      <c r="A339" s="52">
        <v>327</v>
      </c>
      <c r="B339" s="30" t="s">
        <v>174</v>
      </c>
      <c r="C339" s="29">
        <v>1972</v>
      </c>
      <c r="D339" s="44">
        <v>52</v>
      </c>
      <c r="E339" s="16">
        <v>45.3</v>
      </c>
      <c r="F339" s="17">
        <f>1/3611*45.3</f>
        <v>0.012545001384657988</v>
      </c>
      <c r="G339" s="16">
        <f t="shared" si="48"/>
        <v>130499.37690390473</v>
      </c>
      <c r="H339" s="16">
        <f t="shared" si="49"/>
        <v>62487.451640819716</v>
      </c>
      <c r="I339" s="16">
        <f t="shared" si="43"/>
        <v>68011.92526308502</v>
      </c>
      <c r="J339" s="18"/>
    </row>
    <row r="340" spans="1:10" ht="15.75" customHeight="1">
      <c r="A340" s="52">
        <v>328</v>
      </c>
      <c r="B340" s="30" t="s">
        <v>174</v>
      </c>
      <c r="C340" s="29">
        <v>1972</v>
      </c>
      <c r="D340" s="44">
        <v>55</v>
      </c>
      <c r="E340" s="16">
        <v>56.9</v>
      </c>
      <c r="F340" s="17">
        <f>1/3611*56.9</f>
        <v>0.0157574079202437</v>
      </c>
      <c r="G340" s="16">
        <f t="shared" si="48"/>
        <v>163916.4358903351</v>
      </c>
      <c r="H340" s="16">
        <f t="shared" si="49"/>
        <v>78488.65338548878</v>
      </c>
      <c r="I340" s="16">
        <f aca="true" t="shared" si="50" ref="I340:I351">G340-H340</f>
        <v>85427.78250484631</v>
      </c>
      <c r="J340" s="18"/>
    </row>
    <row r="341" spans="1:10" ht="15.75" customHeight="1">
      <c r="A341" s="52">
        <v>329</v>
      </c>
      <c r="B341" s="30" t="s">
        <v>174</v>
      </c>
      <c r="C341" s="29">
        <v>1972</v>
      </c>
      <c r="D341" s="44">
        <v>59</v>
      </c>
      <c r="E341" s="16">
        <v>56.9</v>
      </c>
      <c r="F341" s="17">
        <f>1/3611*56.9</f>
        <v>0.0157574079202437</v>
      </c>
      <c r="G341" s="16">
        <f t="shared" si="48"/>
        <v>163916.4358903351</v>
      </c>
      <c r="H341" s="16">
        <f t="shared" si="49"/>
        <v>78488.65338548878</v>
      </c>
      <c r="I341" s="16">
        <f t="shared" si="50"/>
        <v>85427.78250484631</v>
      </c>
      <c r="J341" s="18"/>
    </row>
    <row r="342" spans="1:10" ht="15.75" customHeight="1">
      <c r="A342" s="52">
        <v>330</v>
      </c>
      <c r="B342" s="50" t="s">
        <v>42</v>
      </c>
      <c r="C342" s="51">
        <v>1965</v>
      </c>
      <c r="D342" s="44">
        <v>1</v>
      </c>
      <c r="E342" s="16">
        <v>48.2</v>
      </c>
      <c r="F342" s="17">
        <v>0.49639546858908346</v>
      </c>
      <c r="G342" s="16">
        <f>76555.58/97.1*E342</f>
        <v>38001.84300720907</v>
      </c>
      <c r="H342" s="16">
        <f>33748.51/97.1*E342+G342*1%</f>
        <v>17132.62586570546</v>
      </c>
      <c r="I342" s="16">
        <f t="shared" si="50"/>
        <v>20869.21714150361</v>
      </c>
      <c r="J342" s="18"/>
    </row>
    <row r="343" spans="1:10" ht="15.75" customHeight="1">
      <c r="A343" s="52">
        <v>331</v>
      </c>
      <c r="B343" s="50" t="s">
        <v>43</v>
      </c>
      <c r="C343" s="51">
        <v>1958</v>
      </c>
      <c r="D343" s="44">
        <v>1</v>
      </c>
      <c r="E343" s="16">
        <v>61.3</v>
      </c>
      <c r="F343" s="17">
        <v>0.11462228870605834</v>
      </c>
      <c r="G343" s="16">
        <f>241466.6/534.8*E343</f>
        <v>27677.45433807031</v>
      </c>
      <c r="H343" s="16">
        <f>216235.88/534.8*E343</f>
        <v>24785.45146596859</v>
      </c>
      <c r="I343" s="16">
        <f>G343-H343</f>
        <v>2892.0028721017225</v>
      </c>
      <c r="J343" s="18"/>
    </row>
    <row r="344" spans="1:10" ht="15.75" customHeight="1">
      <c r="A344" s="52">
        <v>332</v>
      </c>
      <c r="B344" s="50" t="s">
        <v>44</v>
      </c>
      <c r="C344" s="51">
        <v>2000</v>
      </c>
      <c r="D344" s="44">
        <v>1</v>
      </c>
      <c r="E344" s="16">
        <v>23.9</v>
      </c>
      <c r="F344" s="17">
        <v>0.11247058823529411</v>
      </c>
      <c r="G344" s="16">
        <f>107859.15/212.5*E344</f>
        <v>12130.982047058822</v>
      </c>
      <c r="H344" s="16">
        <f>50783.51/212.5*E344+G344*1%</f>
        <v>5832.96106282353</v>
      </c>
      <c r="I344" s="16">
        <f t="shared" si="50"/>
        <v>6298.020984235292</v>
      </c>
      <c r="J344" s="18"/>
    </row>
    <row r="345" spans="1:10" ht="15.75" customHeight="1">
      <c r="A345" s="52">
        <v>333</v>
      </c>
      <c r="B345" s="50" t="s">
        <v>45</v>
      </c>
      <c r="C345" s="51">
        <v>1963</v>
      </c>
      <c r="D345" s="44">
        <v>10</v>
      </c>
      <c r="E345" s="16">
        <v>40.5</v>
      </c>
      <c r="F345" s="17">
        <v>0.1035540782408591</v>
      </c>
      <c r="G345" s="16">
        <f>329965.19/391.1*E345</f>
        <v>34169.24110201994</v>
      </c>
      <c r="H345" s="16">
        <f>148759.24/391.1*E345+G345*1%</f>
        <v>15746.318389030936</v>
      </c>
      <c r="I345" s="16">
        <f>G345-H345</f>
        <v>18422.922712989006</v>
      </c>
      <c r="J345" s="18"/>
    </row>
    <row r="346" spans="1:10" ht="15.75" customHeight="1">
      <c r="A346" s="52">
        <v>334</v>
      </c>
      <c r="B346" s="50" t="s">
        <v>45</v>
      </c>
      <c r="C346" s="51">
        <v>1963</v>
      </c>
      <c r="D346" s="44">
        <v>11</v>
      </c>
      <c r="E346" s="16">
        <v>56.8</v>
      </c>
      <c r="F346" s="17">
        <v>0.14523139861927895</v>
      </c>
      <c r="G346" s="16">
        <f>329965.19/391.1*E346</f>
        <v>47921.30603937612</v>
      </c>
      <c r="H346" s="16">
        <f>148759.24/391.1*E346+G346*1%</f>
        <v>22083.725543134744</v>
      </c>
      <c r="I346" s="16">
        <f>G346-H346</f>
        <v>25837.580496241375</v>
      </c>
      <c r="J346" s="18"/>
    </row>
    <row r="347" spans="1:10" ht="15.75" customHeight="1">
      <c r="A347" s="52">
        <v>335</v>
      </c>
      <c r="B347" s="50" t="s">
        <v>208</v>
      </c>
      <c r="C347" s="51">
        <v>1962</v>
      </c>
      <c r="D347" s="44" t="s">
        <v>209</v>
      </c>
      <c r="E347" s="16">
        <v>28.51</v>
      </c>
      <c r="F347" s="17">
        <v>0.075</v>
      </c>
      <c r="G347" s="16">
        <v>25101.16</v>
      </c>
      <c r="H347" s="16">
        <v>11567.42</v>
      </c>
      <c r="I347" s="16">
        <v>13533.74</v>
      </c>
      <c r="J347" s="18"/>
    </row>
    <row r="348" spans="1:10" ht="15.75" customHeight="1">
      <c r="A348" s="52">
        <v>336</v>
      </c>
      <c r="B348" s="50" t="s">
        <v>46</v>
      </c>
      <c r="C348" s="51">
        <v>1962</v>
      </c>
      <c r="D348" s="44">
        <v>7</v>
      </c>
      <c r="E348" s="15">
        <v>34.3</v>
      </c>
      <c r="F348" s="17">
        <f>1/380.3*E348</f>
        <v>0.09019195372074676</v>
      </c>
      <c r="G348" s="16">
        <f>334828.94/380.3*E348</f>
        <v>30198.876260846697</v>
      </c>
      <c r="H348" s="16">
        <f>150951.77/380.3*E348+G348*1%</f>
        <v>13916.623816513278</v>
      </c>
      <c r="I348" s="16">
        <f t="shared" si="50"/>
        <v>16282.252444333419</v>
      </c>
      <c r="J348" s="18"/>
    </row>
    <row r="349" spans="1:10" ht="15.75" customHeight="1">
      <c r="A349" s="52">
        <v>337</v>
      </c>
      <c r="B349" s="50" t="s">
        <v>47</v>
      </c>
      <c r="C349" s="51">
        <v>1965</v>
      </c>
      <c r="D349" s="44">
        <v>2</v>
      </c>
      <c r="E349" s="16">
        <v>50.1</v>
      </c>
      <c r="F349" s="17">
        <v>0.13046875</v>
      </c>
      <c r="G349" s="16">
        <f>360819/384*E349</f>
        <v>47075.60390625</v>
      </c>
      <c r="H349" s="16">
        <f>135477.96/384*E349+G349*1%</f>
        <v>18146.3961328125</v>
      </c>
      <c r="I349" s="16">
        <f t="shared" si="50"/>
        <v>28929.207773437498</v>
      </c>
      <c r="J349" s="18"/>
    </row>
    <row r="350" spans="1:10" ht="15.75" customHeight="1">
      <c r="A350" s="52">
        <v>338</v>
      </c>
      <c r="B350" s="50" t="s">
        <v>48</v>
      </c>
      <c r="C350" s="51">
        <v>1982</v>
      </c>
      <c r="D350" s="44">
        <v>11</v>
      </c>
      <c r="E350" s="16">
        <v>37.1</v>
      </c>
      <c r="F350" s="17">
        <v>0.029288702928870293</v>
      </c>
      <c r="G350" s="16">
        <f>1695717.41/1266.7*E350</f>
        <v>49665.36347280334</v>
      </c>
      <c r="H350" s="16">
        <f>442479.76/1266.7*E350+G350*1%</f>
        <v>13456.311877405857</v>
      </c>
      <c r="I350" s="16">
        <f t="shared" si="50"/>
        <v>36209.05159539748</v>
      </c>
      <c r="J350" s="18"/>
    </row>
    <row r="351" spans="1:10" ht="15.75" customHeight="1">
      <c r="A351" s="52">
        <v>339</v>
      </c>
      <c r="B351" s="30" t="s">
        <v>145</v>
      </c>
      <c r="C351" s="29">
        <v>1978</v>
      </c>
      <c r="D351" s="44">
        <v>3</v>
      </c>
      <c r="E351" s="16">
        <v>26.9</v>
      </c>
      <c r="F351" s="17">
        <v>0.18200270635994584</v>
      </c>
      <c r="G351" s="16">
        <f>183330.96/147.8*E351</f>
        <v>33366.730879566974</v>
      </c>
      <c r="H351" s="16">
        <f>67985.51/147.8*E351+G351*1%</f>
        <v>12707.21412205683</v>
      </c>
      <c r="I351" s="16">
        <f t="shared" si="50"/>
        <v>20659.516757510144</v>
      </c>
      <c r="J351" s="18"/>
    </row>
    <row r="352" spans="1:10" ht="15.75" customHeight="1">
      <c r="A352" s="52">
        <v>340</v>
      </c>
      <c r="B352" s="30" t="s">
        <v>146</v>
      </c>
      <c r="C352" s="29">
        <v>1970</v>
      </c>
      <c r="D352" s="44">
        <v>1</v>
      </c>
      <c r="E352" s="16">
        <v>31.4</v>
      </c>
      <c r="F352" s="17">
        <v>0.2384206529992407</v>
      </c>
      <c r="G352" s="16">
        <f>126235.56/131.7*E352</f>
        <v>30097.16464692483</v>
      </c>
      <c r="H352" s="16">
        <f>46812.61/131.7*E352+G352*1%</f>
        <v>11462.064691268035</v>
      </c>
      <c r="I352" s="16">
        <f aca="true" t="shared" si="51" ref="I352:I360">G352-H352</f>
        <v>18635.099955656795</v>
      </c>
      <c r="J352" s="18"/>
    </row>
    <row r="353" spans="1:10" ht="15.75" customHeight="1">
      <c r="A353" s="52">
        <v>341</v>
      </c>
      <c r="B353" s="30" t="s">
        <v>146</v>
      </c>
      <c r="C353" s="29">
        <v>1970</v>
      </c>
      <c r="D353" s="44">
        <v>2</v>
      </c>
      <c r="E353" s="16">
        <v>22.1</v>
      </c>
      <c r="F353" s="17">
        <v>0.1678056188306758</v>
      </c>
      <c r="G353" s="16">
        <f>126235.56/131.7*E353</f>
        <v>21183.036264236904</v>
      </c>
      <c r="H353" s="16">
        <f>46812.61/131.7*E353+G353*1%</f>
        <v>8067.249352771452</v>
      </c>
      <c r="I353" s="16">
        <f t="shared" si="51"/>
        <v>13115.786911465451</v>
      </c>
      <c r="J353" s="18"/>
    </row>
    <row r="354" spans="1:10" ht="15.75" customHeight="1">
      <c r="A354" s="52">
        <v>342</v>
      </c>
      <c r="B354" s="30" t="s">
        <v>146</v>
      </c>
      <c r="C354" s="29">
        <v>1970</v>
      </c>
      <c r="D354" s="44">
        <v>4</v>
      </c>
      <c r="E354" s="16">
        <v>34.5</v>
      </c>
      <c r="F354" s="17">
        <v>0.2619589977220957</v>
      </c>
      <c r="G354" s="16">
        <f>126235.56/131.7*E354</f>
        <v>33068.540774487476</v>
      </c>
      <c r="H354" s="16">
        <f>46812.61/131.7*E354+G354*1%</f>
        <v>12593.66980410023</v>
      </c>
      <c r="I354" s="16">
        <f t="shared" si="51"/>
        <v>20474.870970387245</v>
      </c>
      <c r="J354" s="18"/>
    </row>
    <row r="355" spans="1:10" ht="15.75" customHeight="1">
      <c r="A355" s="52">
        <v>343</v>
      </c>
      <c r="B355" s="30" t="s">
        <v>147</v>
      </c>
      <c r="C355" s="29">
        <v>1970</v>
      </c>
      <c r="D355" s="44">
        <v>1</v>
      </c>
      <c r="E355" s="16">
        <v>13</v>
      </c>
      <c r="F355" s="17">
        <f aca="true" t="shared" si="52" ref="F355:F374">1/2872.6*E355</f>
        <v>0.00452551695328274</v>
      </c>
      <c r="G355" s="16">
        <f aca="true" t="shared" si="53" ref="G355:G374">2707614/2872.6*E355</f>
        <v>12253.353059945695</v>
      </c>
      <c r="H355" s="16">
        <f>664266.83/2872.6*E355+G355*1%</f>
        <v>3128.6843312678407</v>
      </c>
      <c r="I355" s="16">
        <f t="shared" si="51"/>
        <v>9124.668728677854</v>
      </c>
      <c r="J355" s="18"/>
    </row>
    <row r="356" spans="1:10" ht="15.75" customHeight="1">
      <c r="A356" s="52">
        <v>344</v>
      </c>
      <c r="B356" s="30" t="s">
        <v>147</v>
      </c>
      <c r="C356" s="29">
        <v>1970</v>
      </c>
      <c r="D356" s="44">
        <v>2</v>
      </c>
      <c r="E356" s="16">
        <v>13.4</v>
      </c>
      <c r="F356" s="17">
        <f t="shared" si="52"/>
        <v>0.0046647636287683635</v>
      </c>
      <c r="G356" s="16">
        <f t="shared" si="53"/>
        <v>12630.379307944024</v>
      </c>
      <c r="H356" s="16">
        <f aca="true" t="shared" si="54" ref="H356:H387">664266.83/2872.6*E356+G356*1%</f>
        <v>3224.9515414606976</v>
      </c>
      <c r="I356" s="16">
        <f t="shared" si="51"/>
        <v>9405.427766483326</v>
      </c>
      <c r="J356" s="18"/>
    </row>
    <row r="357" spans="1:10" ht="15.75" customHeight="1">
      <c r="A357" s="52">
        <v>345</v>
      </c>
      <c r="B357" s="30" t="s">
        <v>147</v>
      </c>
      <c r="C357" s="29">
        <v>1970</v>
      </c>
      <c r="D357" s="44">
        <v>6</v>
      </c>
      <c r="E357" s="16">
        <v>18.1</v>
      </c>
      <c r="F357" s="17">
        <f t="shared" si="52"/>
        <v>0.006300912065724432</v>
      </c>
      <c r="G357" s="16">
        <f t="shared" si="53"/>
        <v>17060.43772192439</v>
      </c>
      <c r="H357" s="16">
        <f t="shared" si="54"/>
        <v>4356.091261226764</v>
      </c>
      <c r="I357" s="16">
        <f aca="true" t="shared" si="55" ref="I357:I399">G357-H357</f>
        <v>12704.346460697627</v>
      </c>
      <c r="J357" s="18"/>
    </row>
    <row r="358" spans="1:10" ht="15.75" customHeight="1">
      <c r="A358" s="52">
        <v>346</v>
      </c>
      <c r="B358" s="30" t="s">
        <v>147</v>
      </c>
      <c r="C358" s="29">
        <v>1970</v>
      </c>
      <c r="D358" s="44">
        <v>7</v>
      </c>
      <c r="E358" s="16">
        <v>17.3</v>
      </c>
      <c r="F358" s="17">
        <f t="shared" si="52"/>
        <v>0.006022418714753185</v>
      </c>
      <c r="G358" s="16">
        <f t="shared" si="53"/>
        <v>16306.385225927732</v>
      </c>
      <c r="H358" s="16">
        <f t="shared" si="54"/>
        <v>4163.55684084105</v>
      </c>
      <c r="I358" s="16">
        <f t="shared" si="55"/>
        <v>12142.828385086683</v>
      </c>
      <c r="J358" s="18"/>
    </row>
    <row r="359" spans="1:10" ht="15.75" customHeight="1">
      <c r="A359" s="52">
        <v>347</v>
      </c>
      <c r="B359" s="30" t="s">
        <v>147</v>
      </c>
      <c r="C359" s="29">
        <v>1970</v>
      </c>
      <c r="D359" s="44">
        <v>16</v>
      </c>
      <c r="E359" s="16">
        <v>19</v>
      </c>
      <c r="F359" s="17">
        <f t="shared" si="52"/>
        <v>0.006614217085567082</v>
      </c>
      <c r="G359" s="16">
        <f t="shared" si="53"/>
        <v>17908.74677992063</v>
      </c>
      <c r="H359" s="16">
        <f t="shared" si="54"/>
        <v>4572.692484160691</v>
      </c>
      <c r="I359" s="16">
        <f t="shared" si="51"/>
        <v>13336.054295759941</v>
      </c>
      <c r="J359" s="18"/>
    </row>
    <row r="360" spans="1:10" ht="15.75" customHeight="1">
      <c r="A360" s="52">
        <v>348</v>
      </c>
      <c r="B360" s="30" t="s">
        <v>147</v>
      </c>
      <c r="C360" s="29">
        <v>1970</v>
      </c>
      <c r="D360" s="44">
        <v>23</v>
      </c>
      <c r="E360" s="16">
        <v>12.9</v>
      </c>
      <c r="F360" s="17">
        <f t="shared" si="52"/>
        <v>0.004490705284411335</v>
      </c>
      <c r="G360" s="16">
        <f t="shared" si="53"/>
        <v>12159.096497946113</v>
      </c>
      <c r="H360" s="16">
        <f t="shared" si="54"/>
        <v>3104.617528719627</v>
      </c>
      <c r="I360" s="16">
        <f t="shared" si="51"/>
        <v>9054.478969226486</v>
      </c>
      <c r="J360" s="18"/>
    </row>
    <row r="361" spans="1:10" ht="15.75" customHeight="1">
      <c r="A361" s="52">
        <v>349</v>
      </c>
      <c r="B361" s="30" t="s">
        <v>147</v>
      </c>
      <c r="C361" s="29">
        <v>1970</v>
      </c>
      <c r="D361" s="44">
        <v>27</v>
      </c>
      <c r="E361" s="16">
        <v>18.9</v>
      </c>
      <c r="F361" s="17">
        <f t="shared" si="52"/>
        <v>0.006579405416695676</v>
      </c>
      <c r="G361" s="16">
        <f t="shared" si="53"/>
        <v>17814.490217921048</v>
      </c>
      <c r="H361" s="16">
        <f t="shared" si="54"/>
        <v>4548.625681612476</v>
      </c>
      <c r="I361" s="16">
        <f t="shared" si="55"/>
        <v>13265.86453630857</v>
      </c>
      <c r="J361" s="18"/>
    </row>
    <row r="362" spans="1:10" ht="15.75" customHeight="1">
      <c r="A362" s="52">
        <v>350</v>
      </c>
      <c r="B362" s="30" t="s">
        <v>147</v>
      </c>
      <c r="C362" s="29">
        <v>1970</v>
      </c>
      <c r="D362" s="44">
        <v>34</v>
      </c>
      <c r="E362" s="16">
        <v>13</v>
      </c>
      <c r="F362" s="17">
        <f t="shared" si="52"/>
        <v>0.00452551695328274</v>
      </c>
      <c r="G362" s="16">
        <f t="shared" si="53"/>
        <v>12253.353059945695</v>
      </c>
      <c r="H362" s="16">
        <f t="shared" si="54"/>
        <v>3128.6843312678407</v>
      </c>
      <c r="I362" s="16">
        <f t="shared" si="55"/>
        <v>9124.668728677854</v>
      </c>
      <c r="J362" s="18"/>
    </row>
    <row r="363" spans="1:10" ht="15.75" customHeight="1">
      <c r="A363" s="52">
        <v>351</v>
      </c>
      <c r="B363" s="30" t="s">
        <v>147</v>
      </c>
      <c r="C363" s="29">
        <v>1970</v>
      </c>
      <c r="D363" s="44">
        <v>38</v>
      </c>
      <c r="E363" s="16">
        <v>18.9</v>
      </c>
      <c r="F363" s="17">
        <f t="shared" si="52"/>
        <v>0.006579405416695676</v>
      </c>
      <c r="G363" s="16">
        <f t="shared" si="53"/>
        <v>17814.490217921048</v>
      </c>
      <c r="H363" s="16">
        <f t="shared" si="54"/>
        <v>4548.625681612476</v>
      </c>
      <c r="I363" s="16">
        <f t="shared" si="55"/>
        <v>13265.86453630857</v>
      </c>
      <c r="J363" s="18"/>
    </row>
    <row r="364" spans="1:10" ht="15.75" customHeight="1">
      <c r="A364" s="52">
        <v>352</v>
      </c>
      <c r="B364" s="30" t="s">
        <v>147</v>
      </c>
      <c r="C364" s="29">
        <v>1970</v>
      </c>
      <c r="D364" s="44">
        <v>39</v>
      </c>
      <c r="E364" s="16">
        <v>18.4</v>
      </c>
      <c r="F364" s="17">
        <f t="shared" si="52"/>
        <v>0.006405347072338648</v>
      </c>
      <c r="G364" s="16">
        <f t="shared" si="53"/>
        <v>17343.207407923135</v>
      </c>
      <c r="H364" s="16">
        <f t="shared" si="54"/>
        <v>4428.291668871405</v>
      </c>
      <c r="I364" s="16">
        <f t="shared" si="55"/>
        <v>12914.91573905173</v>
      </c>
      <c r="J364" s="18"/>
    </row>
    <row r="365" spans="1:10" ht="15.75" customHeight="1">
      <c r="A365" s="52">
        <v>353</v>
      </c>
      <c r="B365" s="30" t="s">
        <v>147</v>
      </c>
      <c r="C365" s="29">
        <v>1970</v>
      </c>
      <c r="D365" s="44">
        <v>40</v>
      </c>
      <c r="E365" s="16">
        <v>18.4</v>
      </c>
      <c r="F365" s="17">
        <f t="shared" si="52"/>
        <v>0.006405347072338648</v>
      </c>
      <c r="G365" s="16">
        <f t="shared" si="53"/>
        <v>17343.207407923135</v>
      </c>
      <c r="H365" s="16">
        <f t="shared" si="54"/>
        <v>4428.291668871405</v>
      </c>
      <c r="I365" s="16">
        <f t="shared" si="55"/>
        <v>12914.91573905173</v>
      </c>
      <c r="J365" s="18"/>
    </row>
    <row r="366" spans="1:10" ht="15.75" customHeight="1">
      <c r="A366" s="52">
        <v>354</v>
      </c>
      <c r="B366" s="30" t="s">
        <v>147</v>
      </c>
      <c r="C366" s="29">
        <v>1970</v>
      </c>
      <c r="D366" s="44">
        <v>43</v>
      </c>
      <c r="E366" s="16">
        <v>19.5</v>
      </c>
      <c r="F366" s="17">
        <f t="shared" si="52"/>
        <v>0.006788275429924111</v>
      </c>
      <c r="G366" s="16">
        <f t="shared" si="53"/>
        <v>18380.02958991854</v>
      </c>
      <c r="H366" s="16">
        <f t="shared" si="54"/>
        <v>4693.026496901762</v>
      </c>
      <c r="I366" s="16">
        <f t="shared" si="55"/>
        <v>13687.003093016778</v>
      </c>
      <c r="J366" s="18"/>
    </row>
    <row r="367" spans="1:10" ht="15.75" customHeight="1">
      <c r="A367" s="52">
        <v>355</v>
      </c>
      <c r="B367" s="30" t="s">
        <v>147</v>
      </c>
      <c r="C367" s="29">
        <v>1970</v>
      </c>
      <c r="D367" s="44">
        <v>44</v>
      </c>
      <c r="E367" s="16">
        <v>24.5</v>
      </c>
      <c r="F367" s="17">
        <f t="shared" si="52"/>
        <v>0.008528858873494395</v>
      </c>
      <c r="G367" s="16">
        <f t="shared" si="53"/>
        <v>23092.857689897653</v>
      </c>
      <c r="H367" s="16">
        <f t="shared" si="54"/>
        <v>5896.366624312469</v>
      </c>
      <c r="I367" s="16">
        <f t="shared" si="55"/>
        <v>17196.491065585185</v>
      </c>
      <c r="J367" s="18"/>
    </row>
    <row r="368" spans="1:10" ht="15.75" customHeight="1">
      <c r="A368" s="52">
        <v>356</v>
      </c>
      <c r="B368" s="30" t="s">
        <v>147</v>
      </c>
      <c r="C368" s="29">
        <v>1970</v>
      </c>
      <c r="D368" s="44">
        <v>49</v>
      </c>
      <c r="E368" s="16">
        <v>18.9</v>
      </c>
      <c r="F368" s="17">
        <f t="shared" si="52"/>
        <v>0.006579405416695676</v>
      </c>
      <c r="G368" s="16">
        <f t="shared" si="53"/>
        <v>17814.490217921048</v>
      </c>
      <c r="H368" s="16">
        <f t="shared" si="54"/>
        <v>4548.625681612476</v>
      </c>
      <c r="I368" s="16">
        <f t="shared" si="55"/>
        <v>13265.86453630857</v>
      </c>
      <c r="J368" s="18"/>
    </row>
    <row r="369" spans="1:10" ht="15.75" customHeight="1">
      <c r="A369" s="52">
        <v>357</v>
      </c>
      <c r="B369" s="30" t="s">
        <v>147</v>
      </c>
      <c r="C369" s="29">
        <v>1970</v>
      </c>
      <c r="D369" s="44">
        <v>52</v>
      </c>
      <c r="E369" s="16">
        <v>17.8</v>
      </c>
      <c r="F369" s="17">
        <f t="shared" si="52"/>
        <v>0.006196477059110214</v>
      </c>
      <c r="G369" s="16">
        <f t="shared" si="53"/>
        <v>16777.668035925642</v>
      </c>
      <c r="H369" s="16">
        <f t="shared" si="54"/>
        <v>4283.890853582121</v>
      </c>
      <c r="I369" s="16">
        <f t="shared" si="55"/>
        <v>12493.777182343521</v>
      </c>
      <c r="J369" s="18"/>
    </row>
    <row r="370" spans="1:10" ht="15.75" customHeight="1">
      <c r="A370" s="52">
        <v>358</v>
      </c>
      <c r="B370" s="30" t="s">
        <v>147</v>
      </c>
      <c r="C370" s="29">
        <v>1970</v>
      </c>
      <c r="D370" s="44">
        <v>75</v>
      </c>
      <c r="E370" s="16">
        <v>12.5</v>
      </c>
      <c r="F370" s="17">
        <f t="shared" si="52"/>
        <v>0.004351458608925712</v>
      </c>
      <c r="G370" s="16">
        <f t="shared" si="53"/>
        <v>11782.070249947783</v>
      </c>
      <c r="H370" s="16">
        <f t="shared" si="54"/>
        <v>3008.35031852677</v>
      </c>
      <c r="I370" s="16">
        <f t="shared" si="55"/>
        <v>8773.719931421012</v>
      </c>
      <c r="J370" s="18"/>
    </row>
    <row r="371" spans="1:10" ht="15.75" customHeight="1">
      <c r="A371" s="52">
        <v>359</v>
      </c>
      <c r="B371" s="30" t="s">
        <v>147</v>
      </c>
      <c r="C371" s="29">
        <v>1970</v>
      </c>
      <c r="D371" s="44">
        <v>77</v>
      </c>
      <c r="E371" s="16">
        <v>18.1</v>
      </c>
      <c r="F371" s="17">
        <f t="shared" si="52"/>
        <v>0.006300912065724432</v>
      </c>
      <c r="G371" s="16">
        <f t="shared" si="53"/>
        <v>17060.43772192439</v>
      </c>
      <c r="H371" s="16">
        <f t="shared" si="54"/>
        <v>4356.091261226764</v>
      </c>
      <c r="I371" s="16">
        <f t="shared" si="55"/>
        <v>12704.346460697627</v>
      </c>
      <c r="J371" s="18"/>
    </row>
    <row r="372" spans="1:10" ht="15.75" customHeight="1">
      <c r="A372" s="52">
        <v>360</v>
      </c>
      <c r="B372" s="30" t="s">
        <v>147</v>
      </c>
      <c r="C372" s="29">
        <v>1970</v>
      </c>
      <c r="D372" s="44">
        <v>78</v>
      </c>
      <c r="E372" s="16">
        <v>21.5</v>
      </c>
      <c r="F372" s="17">
        <f t="shared" si="52"/>
        <v>0.007484508807352225</v>
      </c>
      <c r="G372" s="16">
        <f t="shared" si="53"/>
        <v>20265.160829910186</v>
      </c>
      <c r="H372" s="16">
        <f t="shared" si="54"/>
        <v>5174.362547866044</v>
      </c>
      <c r="I372" s="16">
        <f t="shared" si="55"/>
        <v>15090.798282044143</v>
      </c>
      <c r="J372" s="18"/>
    </row>
    <row r="373" spans="1:10" ht="15.75" customHeight="1">
      <c r="A373" s="52">
        <v>361</v>
      </c>
      <c r="B373" s="30" t="s">
        <v>147</v>
      </c>
      <c r="C373" s="29">
        <v>1970</v>
      </c>
      <c r="D373" s="44">
        <v>84</v>
      </c>
      <c r="E373" s="16">
        <v>18.2</v>
      </c>
      <c r="F373" s="17">
        <f t="shared" si="52"/>
        <v>0.006335723734595836</v>
      </c>
      <c r="G373" s="16">
        <f t="shared" si="53"/>
        <v>17154.69428392397</v>
      </c>
      <c r="H373" s="16">
        <f t="shared" si="54"/>
        <v>4380.158063774977</v>
      </c>
      <c r="I373" s="16">
        <f t="shared" si="55"/>
        <v>12774.536220148995</v>
      </c>
      <c r="J373" s="18"/>
    </row>
    <row r="374" spans="1:10" ht="15.75" customHeight="1">
      <c r="A374" s="52">
        <v>362</v>
      </c>
      <c r="B374" s="30" t="s">
        <v>147</v>
      </c>
      <c r="C374" s="29">
        <v>1970</v>
      </c>
      <c r="D374" s="44">
        <v>88</v>
      </c>
      <c r="E374" s="16">
        <v>18.1</v>
      </c>
      <c r="F374" s="17">
        <f t="shared" si="52"/>
        <v>0.006300912065724432</v>
      </c>
      <c r="G374" s="16">
        <f t="shared" si="53"/>
        <v>17060.43772192439</v>
      </c>
      <c r="H374" s="16">
        <f t="shared" si="54"/>
        <v>4356.091261226764</v>
      </c>
      <c r="I374" s="16">
        <f t="shared" si="55"/>
        <v>12704.346460697627</v>
      </c>
      <c r="J374" s="18"/>
    </row>
    <row r="375" spans="1:10" ht="15.75" customHeight="1">
      <c r="A375" s="52">
        <v>363</v>
      </c>
      <c r="B375" s="30" t="s">
        <v>147</v>
      </c>
      <c r="C375" s="29">
        <v>1970</v>
      </c>
      <c r="D375" s="44">
        <v>96</v>
      </c>
      <c r="E375" s="16">
        <v>12.9</v>
      </c>
      <c r="F375" s="17">
        <f aca="true" t="shared" si="56" ref="F375:F387">1/2872.6*E375</f>
        <v>0.004490705284411335</v>
      </c>
      <c r="G375" s="16">
        <f aca="true" t="shared" si="57" ref="G375:G387">2707614/2872.6*E375</f>
        <v>12159.096497946113</v>
      </c>
      <c r="H375" s="16">
        <f t="shared" si="54"/>
        <v>3104.617528719627</v>
      </c>
      <c r="I375" s="16">
        <f t="shared" si="55"/>
        <v>9054.478969226486</v>
      </c>
      <c r="J375" s="18"/>
    </row>
    <row r="376" spans="1:10" ht="15.75" customHeight="1">
      <c r="A376" s="52">
        <v>364</v>
      </c>
      <c r="B376" s="30" t="s">
        <v>147</v>
      </c>
      <c r="C376" s="29">
        <v>1970</v>
      </c>
      <c r="D376" s="44">
        <v>107</v>
      </c>
      <c r="E376" s="16">
        <v>13.1</v>
      </c>
      <c r="F376" s="17">
        <f t="shared" si="56"/>
        <v>0.004560328622154146</v>
      </c>
      <c r="G376" s="16">
        <f t="shared" si="57"/>
        <v>12347.609621945276</v>
      </c>
      <c r="H376" s="16">
        <f t="shared" si="54"/>
        <v>3152.751133816055</v>
      </c>
      <c r="I376" s="16">
        <f t="shared" si="55"/>
        <v>9194.85848812922</v>
      </c>
      <c r="J376" s="18"/>
    </row>
    <row r="377" spans="1:10" ht="15.75" customHeight="1">
      <c r="A377" s="52">
        <v>365</v>
      </c>
      <c r="B377" s="30" t="s">
        <v>147</v>
      </c>
      <c r="C377" s="29">
        <v>1970</v>
      </c>
      <c r="D377" s="44">
        <v>109</v>
      </c>
      <c r="E377" s="16">
        <v>24.7</v>
      </c>
      <c r="F377" s="17">
        <f t="shared" si="56"/>
        <v>0.008598482211237206</v>
      </c>
      <c r="G377" s="16">
        <f t="shared" si="57"/>
        <v>23281.370813896818</v>
      </c>
      <c r="H377" s="16">
        <f t="shared" si="54"/>
        <v>5944.500229408897</v>
      </c>
      <c r="I377" s="16">
        <f t="shared" si="55"/>
        <v>17336.870584487922</v>
      </c>
      <c r="J377" s="18"/>
    </row>
    <row r="378" spans="1:10" ht="15.75" customHeight="1">
      <c r="A378" s="52">
        <v>366</v>
      </c>
      <c r="B378" s="30" t="s">
        <v>147</v>
      </c>
      <c r="C378" s="29">
        <v>1970</v>
      </c>
      <c r="D378" s="44">
        <v>123</v>
      </c>
      <c r="E378" s="16">
        <v>19</v>
      </c>
      <c r="F378" s="17">
        <f t="shared" si="56"/>
        <v>0.006614217085567082</v>
      </c>
      <c r="G378" s="16">
        <f t="shared" si="57"/>
        <v>17908.74677992063</v>
      </c>
      <c r="H378" s="16">
        <f t="shared" si="54"/>
        <v>4572.692484160691</v>
      </c>
      <c r="I378" s="16">
        <f t="shared" si="55"/>
        <v>13336.054295759941</v>
      </c>
      <c r="J378" s="18"/>
    </row>
    <row r="379" spans="1:10" ht="15.75" customHeight="1">
      <c r="A379" s="52">
        <v>367</v>
      </c>
      <c r="B379" s="30" t="s">
        <v>147</v>
      </c>
      <c r="C379" s="29">
        <v>1970</v>
      </c>
      <c r="D379" s="44">
        <v>133</v>
      </c>
      <c r="E379" s="16">
        <v>22.6</v>
      </c>
      <c r="F379" s="17">
        <f t="shared" si="56"/>
        <v>0.007867437164937688</v>
      </c>
      <c r="G379" s="16">
        <f t="shared" si="57"/>
        <v>21301.983011905595</v>
      </c>
      <c r="H379" s="16">
        <f t="shared" si="54"/>
        <v>5439.0973758964</v>
      </c>
      <c r="I379" s="16">
        <f t="shared" si="55"/>
        <v>15862.885636009196</v>
      </c>
      <c r="J379" s="18"/>
    </row>
    <row r="380" spans="1:10" ht="15.75" customHeight="1">
      <c r="A380" s="52">
        <v>368</v>
      </c>
      <c r="B380" s="30" t="s">
        <v>147</v>
      </c>
      <c r="C380" s="29">
        <v>1970</v>
      </c>
      <c r="D380" s="44">
        <v>134</v>
      </c>
      <c r="E380" s="16">
        <v>18.9</v>
      </c>
      <c r="F380" s="17">
        <f t="shared" si="56"/>
        <v>0.006579405416695676</v>
      </c>
      <c r="G380" s="16">
        <f t="shared" si="57"/>
        <v>17814.490217921048</v>
      </c>
      <c r="H380" s="16">
        <f t="shared" si="54"/>
        <v>4548.625681612476</v>
      </c>
      <c r="I380" s="16">
        <f>G380-H380</f>
        <v>13265.86453630857</v>
      </c>
      <c r="J380" s="18"/>
    </row>
    <row r="381" spans="1:10" ht="15.75" customHeight="1">
      <c r="A381" s="52">
        <v>369</v>
      </c>
      <c r="B381" s="30" t="s">
        <v>147</v>
      </c>
      <c r="C381" s="29">
        <v>1970</v>
      </c>
      <c r="D381" s="44">
        <v>138</v>
      </c>
      <c r="E381" s="16">
        <v>24.1</v>
      </c>
      <c r="F381" s="17">
        <f t="shared" si="56"/>
        <v>0.008389612198008774</v>
      </c>
      <c r="G381" s="16">
        <f t="shared" si="57"/>
        <v>22715.83144189933</v>
      </c>
      <c r="H381" s="16">
        <f t="shared" si="54"/>
        <v>5800.099414119613</v>
      </c>
      <c r="I381" s="16">
        <f t="shared" si="55"/>
        <v>16915.732027779715</v>
      </c>
      <c r="J381" s="18"/>
    </row>
    <row r="382" spans="1:10" ht="15.75" customHeight="1">
      <c r="A382" s="52">
        <v>370</v>
      </c>
      <c r="B382" s="30" t="s">
        <v>147</v>
      </c>
      <c r="C382" s="29">
        <v>1970</v>
      </c>
      <c r="D382" s="44">
        <v>141</v>
      </c>
      <c r="E382" s="16">
        <v>12.3</v>
      </c>
      <c r="F382" s="17">
        <f t="shared" si="56"/>
        <v>0.004281835271182901</v>
      </c>
      <c r="G382" s="16">
        <f t="shared" si="57"/>
        <v>11593.557125948619</v>
      </c>
      <c r="H382" s="16">
        <f t="shared" si="54"/>
        <v>2960.2167134303418</v>
      </c>
      <c r="I382" s="16">
        <f t="shared" si="55"/>
        <v>8633.340412518277</v>
      </c>
      <c r="J382" s="18"/>
    </row>
    <row r="383" spans="1:10" ht="15.75" customHeight="1">
      <c r="A383" s="52">
        <v>371</v>
      </c>
      <c r="B383" s="30" t="s">
        <v>147</v>
      </c>
      <c r="C383" s="29">
        <v>1970</v>
      </c>
      <c r="D383" s="44">
        <v>142</v>
      </c>
      <c r="E383" s="16">
        <v>24</v>
      </c>
      <c r="F383" s="17">
        <f t="shared" si="56"/>
        <v>0.008354800529137367</v>
      </c>
      <c r="G383" s="16">
        <f t="shared" si="57"/>
        <v>22621.574879899745</v>
      </c>
      <c r="H383" s="16">
        <f t="shared" si="54"/>
        <v>5776.032611571398</v>
      </c>
      <c r="I383" s="16">
        <f t="shared" si="55"/>
        <v>16845.542268328347</v>
      </c>
      <c r="J383" s="18"/>
    </row>
    <row r="384" spans="1:10" ht="15.75" customHeight="1">
      <c r="A384" s="52">
        <v>372</v>
      </c>
      <c r="B384" s="30" t="s">
        <v>147</v>
      </c>
      <c r="C384" s="29">
        <v>1970</v>
      </c>
      <c r="D384" s="44">
        <v>150</v>
      </c>
      <c r="E384" s="16">
        <v>17.5</v>
      </c>
      <c r="F384" s="17">
        <f t="shared" si="56"/>
        <v>0.006092042052495997</v>
      </c>
      <c r="G384" s="16">
        <f t="shared" si="57"/>
        <v>16494.898349926898</v>
      </c>
      <c r="H384" s="16">
        <f t="shared" si="54"/>
        <v>4211.690445937478</v>
      </c>
      <c r="I384" s="16">
        <f t="shared" si="55"/>
        <v>12283.20790398942</v>
      </c>
      <c r="J384" s="18"/>
    </row>
    <row r="385" spans="1:10" ht="15.75" customHeight="1">
      <c r="A385" s="52">
        <v>373</v>
      </c>
      <c r="B385" s="30" t="s">
        <v>147</v>
      </c>
      <c r="C385" s="29">
        <v>1970</v>
      </c>
      <c r="D385" s="44">
        <v>156</v>
      </c>
      <c r="E385" s="16">
        <v>18.7</v>
      </c>
      <c r="F385" s="17">
        <f t="shared" si="56"/>
        <v>0.006509782078952865</v>
      </c>
      <c r="G385" s="16">
        <f t="shared" si="57"/>
        <v>17625.977093921883</v>
      </c>
      <c r="H385" s="16">
        <f t="shared" si="54"/>
        <v>4500.492076516048</v>
      </c>
      <c r="I385" s="16">
        <f t="shared" si="55"/>
        <v>13125.485017405836</v>
      </c>
      <c r="J385" s="18"/>
    </row>
    <row r="386" spans="1:10" ht="15.75" customHeight="1">
      <c r="A386" s="52">
        <v>374</v>
      </c>
      <c r="B386" s="30" t="s">
        <v>147</v>
      </c>
      <c r="C386" s="29">
        <v>1970</v>
      </c>
      <c r="D386" s="44">
        <v>159</v>
      </c>
      <c r="E386" s="16">
        <v>17.7</v>
      </c>
      <c r="F386" s="17">
        <f t="shared" si="56"/>
        <v>0.006161665390238808</v>
      </c>
      <c r="G386" s="16">
        <f t="shared" si="57"/>
        <v>16683.411473926062</v>
      </c>
      <c r="H386" s="16">
        <f t="shared" si="54"/>
        <v>4259.8240510339065</v>
      </c>
      <c r="I386" s="16">
        <f t="shared" si="55"/>
        <v>12423.587422892157</v>
      </c>
      <c r="J386" s="18"/>
    </row>
    <row r="387" spans="1:10" ht="15.75" customHeight="1">
      <c r="A387" s="52">
        <v>375</v>
      </c>
      <c r="B387" s="30" t="s">
        <v>147</v>
      </c>
      <c r="C387" s="29">
        <v>1970</v>
      </c>
      <c r="D387" s="44">
        <v>163</v>
      </c>
      <c r="E387" s="16">
        <v>12.5</v>
      </c>
      <c r="F387" s="17">
        <f t="shared" si="56"/>
        <v>0.004351458608925712</v>
      </c>
      <c r="G387" s="16">
        <f t="shared" si="57"/>
        <v>11782.070249947783</v>
      </c>
      <c r="H387" s="16">
        <f t="shared" si="54"/>
        <v>3008.35031852677</v>
      </c>
      <c r="I387" s="16">
        <f t="shared" si="55"/>
        <v>8773.719931421012</v>
      </c>
      <c r="J387" s="18"/>
    </row>
    <row r="388" spans="1:10" ht="15.75" customHeight="1">
      <c r="A388" s="52">
        <v>376</v>
      </c>
      <c r="B388" s="30" t="s">
        <v>148</v>
      </c>
      <c r="C388" s="29">
        <v>1970</v>
      </c>
      <c r="D388" s="44">
        <v>9</v>
      </c>
      <c r="E388" s="16">
        <v>23.1</v>
      </c>
      <c r="F388" s="17">
        <f aca="true" t="shared" si="58" ref="F388:F405">1/2935.6*E388</f>
        <v>0.007868919471317619</v>
      </c>
      <c r="G388" s="16">
        <f aca="true" t="shared" si="59" ref="G388:G405">2920267/2935.6*E388</f>
        <v>22979.345857746288</v>
      </c>
      <c r="H388" s="16">
        <f>792854.5/2935.6*E388+G388*1%</f>
        <v>6468.701671549257</v>
      </c>
      <c r="I388" s="16">
        <f t="shared" si="55"/>
        <v>16510.64418619703</v>
      </c>
      <c r="J388" s="18"/>
    </row>
    <row r="389" spans="1:10" ht="15.75" customHeight="1">
      <c r="A389" s="52">
        <v>377</v>
      </c>
      <c r="B389" s="30" t="s">
        <v>148</v>
      </c>
      <c r="C389" s="29">
        <v>1970</v>
      </c>
      <c r="D389" s="44">
        <v>10</v>
      </c>
      <c r="E389" s="16">
        <v>12.8</v>
      </c>
      <c r="F389" s="17">
        <f t="shared" si="58"/>
        <v>0.004360267066357815</v>
      </c>
      <c r="G389" s="16">
        <f t="shared" si="59"/>
        <v>12733.144025071537</v>
      </c>
      <c r="H389" s="16">
        <f aca="true" t="shared" si="60" ref="H389:H419">792854.5/2935.6*E389+G389*1%</f>
        <v>3584.3888050143073</v>
      </c>
      <c r="I389" s="16">
        <f t="shared" si="55"/>
        <v>9148.75522005723</v>
      </c>
      <c r="J389" s="18"/>
    </row>
    <row r="390" spans="1:10" ht="15.75" customHeight="1">
      <c r="A390" s="52">
        <v>378</v>
      </c>
      <c r="B390" s="30" t="s">
        <v>148</v>
      </c>
      <c r="C390" s="29">
        <v>1970</v>
      </c>
      <c r="D390" s="44">
        <v>12</v>
      </c>
      <c r="E390" s="16">
        <v>12.4</v>
      </c>
      <c r="F390" s="17">
        <f t="shared" si="58"/>
        <v>0.004224008720534133</v>
      </c>
      <c r="G390" s="16">
        <f t="shared" si="59"/>
        <v>12335.23327428805</v>
      </c>
      <c r="H390" s="16">
        <f t="shared" si="60"/>
        <v>3472.37665485761</v>
      </c>
      <c r="I390" s="16">
        <f t="shared" si="55"/>
        <v>8862.85661943044</v>
      </c>
      <c r="J390" s="18"/>
    </row>
    <row r="391" spans="1:10" ht="15.75" customHeight="1">
      <c r="A391" s="52">
        <v>379</v>
      </c>
      <c r="B391" s="30" t="s">
        <v>148</v>
      </c>
      <c r="C391" s="29">
        <v>1970</v>
      </c>
      <c r="D391" s="44">
        <v>14</v>
      </c>
      <c r="E391" s="16">
        <v>18.5</v>
      </c>
      <c r="F391" s="17">
        <f t="shared" si="58"/>
        <v>0.006301948494345279</v>
      </c>
      <c r="G391" s="16">
        <f t="shared" si="59"/>
        <v>18403.372223736205</v>
      </c>
      <c r="H391" s="16">
        <f t="shared" si="60"/>
        <v>5180.56194474724</v>
      </c>
      <c r="I391" s="16">
        <f t="shared" si="55"/>
        <v>13222.810278988965</v>
      </c>
      <c r="J391" s="18"/>
    </row>
    <row r="392" spans="1:10" ht="15.75" customHeight="1">
      <c r="A392" s="52">
        <v>380</v>
      </c>
      <c r="B392" s="30" t="s">
        <v>148</v>
      </c>
      <c r="C392" s="29">
        <v>1970</v>
      </c>
      <c r="D392" s="44">
        <v>17</v>
      </c>
      <c r="E392" s="16">
        <v>17.2</v>
      </c>
      <c r="F392" s="17">
        <f t="shared" si="58"/>
        <v>0.005859108870418313</v>
      </c>
      <c r="G392" s="16">
        <f t="shared" si="59"/>
        <v>17110.162283689875</v>
      </c>
      <c r="H392" s="16">
        <f t="shared" si="60"/>
        <v>4816.522456737975</v>
      </c>
      <c r="I392" s="16">
        <f t="shared" si="55"/>
        <v>12293.639826951901</v>
      </c>
      <c r="J392" s="18"/>
    </row>
    <row r="393" spans="1:10" ht="15.75" customHeight="1">
      <c r="A393" s="52">
        <v>381</v>
      </c>
      <c r="B393" s="30" t="s">
        <v>148</v>
      </c>
      <c r="C393" s="29">
        <v>1970</v>
      </c>
      <c r="D393" s="44">
        <v>24</v>
      </c>
      <c r="E393" s="16">
        <v>12.8</v>
      </c>
      <c r="F393" s="17">
        <f t="shared" si="58"/>
        <v>0.004360267066357815</v>
      </c>
      <c r="G393" s="16">
        <f t="shared" si="59"/>
        <v>12733.144025071537</v>
      </c>
      <c r="H393" s="16">
        <f t="shared" si="60"/>
        <v>3584.3888050143073</v>
      </c>
      <c r="I393" s="16">
        <f t="shared" si="55"/>
        <v>9148.75522005723</v>
      </c>
      <c r="J393" s="18"/>
    </row>
    <row r="394" spans="1:10" ht="15.75" customHeight="1">
      <c r="A394" s="52">
        <v>382</v>
      </c>
      <c r="B394" s="30" t="s">
        <v>148</v>
      </c>
      <c r="C394" s="29">
        <v>1970</v>
      </c>
      <c r="D394" s="44">
        <v>28</v>
      </c>
      <c r="E394" s="16">
        <v>17.1</v>
      </c>
      <c r="F394" s="17">
        <f t="shared" si="58"/>
        <v>0.005825044283962393</v>
      </c>
      <c r="G394" s="16">
        <f t="shared" si="59"/>
        <v>17010.684595994007</v>
      </c>
      <c r="H394" s="16">
        <f t="shared" si="60"/>
        <v>4788.519419198801</v>
      </c>
      <c r="I394" s="16">
        <f t="shared" si="55"/>
        <v>12222.165176795206</v>
      </c>
      <c r="J394" s="18"/>
    </row>
    <row r="395" spans="1:10" ht="15.75" customHeight="1">
      <c r="A395" s="52">
        <v>383</v>
      </c>
      <c r="B395" s="30" t="s">
        <v>148</v>
      </c>
      <c r="C395" s="29">
        <v>1970</v>
      </c>
      <c r="D395" s="44">
        <v>35</v>
      </c>
      <c r="E395" s="16">
        <v>12.7</v>
      </c>
      <c r="F395" s="17">
        <f t="shared" si="58"/>
        <v>0.004326202479901894</v>
      </c>
      <c r="G395" s="16">
        <f t="shared" si="59"/>
        <v>12633.666337375664</v>
      </c>
      <c r="H395" s="16">
        <f t="shared" si="60"/>
        <v>3556.3857674751325</v>
      </c>
      <c r="I395" s="16">
        <f t="shared" si="55"/>
        <v>9077.280569900531</v>
      </c>
      <c r="J395" s="18"/>
    </row>
    <row r="396" spans="1:10" ht="15.75" customHeight="1">
      <c r="A396" s="52">
        <v>384</v>
      </c>
      <c r="B396" s="30" t="s">
        <v>148</v>
      </c>
      <c r="C396" s="29">
        <v>1970</v>
      </c>
      <c r="D396" s="44">
        <v>45</v>
      </c>
      <c r="E396" s="16">
        <v>12.4</v>
      </c>
      <c r="F396" s="17">
        <f t="shared" si="58"/>
        <v>0.004224008720534133</v>
      </c>
      <c r="G396" s="16">
        <f t="shared" si="59"/>
        <v>12335.23327428805</v>
      </c>
      <c r="H396" s="16">
        <f t="shared" si="60"/>
        <v>3472.37665485761</v>
      </c>
      <c r="I396" s="16">
        <f t="shared" si="55"/>
        <v>8862.85661943044</v>
      </c>
      <c r="J396" s="18"/>
    </row>
    <row r="397" spans="1:10" ht="15.75" customHeight="1">
      <c r="A397" s="52">
        <v>385</v>
      </c>
      <c r="B397" s="30" t="s">
        <v>148</v>
      </c>
      <c r="C397" s="29">
        <v>1970</v>
      </c>
      <c r="D397" s="44">
        <v>56</v>
      </c>
      <c r="E397" s="16">
        <v>24.9</v>
      </c>
      <c r="F397" s="17">
        <f t="shared" si="58"/>
        <v>0.008482082027524186</v>
      </c>
      <c r="G397" s="16">
        <f t="shared" si="59"/>
        <v>24769.94423627197</v>
      </c>
      <c r="H397" s="16">
        <f t="shared" si="60"/>
        <v>6972.756347254393</v>
      </c>
      <c r="I397" s="16">
        <f t="shared" si="55"/>
        <v>17797.18788901758</v>
      </c>
      <c r="J397" s="18"/>
    </row>
    <row r="398" spans="1:10" ht="15.75" customHeight="1">
      <c r="A398" s="52">
        <v>386</v>
      </c>
      <c r="B398" s="30" t="s">
        <v>148</v>
      </c>
      <c r="C398" s="29">
        <v>1970</v>
      </c>
      <c r="D398" s="44">
        <v>60</v>
      </c>
      <c r="E398" s="16">
        <v>17.9</v>
      </c>
      <c r="F398" s="17">
        <f t="shared" si="58"/>
        <v>0.006097560975609756</v>
      </c>
      <c r="G398" s="16">
        <f t="shared" si="59"/>
        <v>17806.506097560974</v>
      </c>
      <c r="H398" s="16">
        <f t="shared" si="60"/>
        <v>5012.543719512194</v>
      </c>
      <c r="I398" s="16">
        <f t="shared" si="55"/>
        <v>12793.96237804878</v>
      </c>
      <c r="J398" s="18"/>
    </row>
    <row r="399" spans="1:10" ht="15.75" customHeight="1">
      <c r="A399" s="52">
        <v>387</v>
      </c>
      <c r="B399" s="30" t="s">
        <v>148</v>
      </c>
      <c r="C399" s="29">
        <v>1970</v>
      </c>
      <c r="D399" s="44">
        <v>62</v>
      </c>
      <c r="E399" s="16">
        <v>13.5</v>
      </c>
      <c r="F399" s="17">
        <f t="shared" si="58"/>
        <v>0.004598719171549258</v>
      </c>
      <c r="G399" s="16">
        <f t="shared" si="59"/>
        <v>13429.487838942636</v>
      </c>
      <c r="H399" s="16">
        <f t="shared" si="60"/>
        <v>3780.4100677885267</v>
      </c>
      <c r="I399" s="16">
        <f t="shared" si="55"/>
        <v>9649.077771154109</v>
      </c>
      <c r="J399" s="18"/>
    </row>
    <row r="400" spans="1:10" ht="15.75" customHeight="1">
      <c r="A400" s="52">
        <v>388</v>
      </c>
      <c r="B400" s="30" t="s">
        <v>148</v>
      </c>
      <c r="C400" s="29">
        <v>1970</v>
      </c>
      <c r="D400" s="44">
        <v>64</v>
      </c>
      <c r="E400" s="16">
        <v>12.1</v>
      </c>
      <c r="F400" s="17">
        <f t="shared" si="58"/>
        <v>0.004121814961166372</v>
      </c>
      <c r="G400" s="16">
        <f t="shared" si="59"/>
        <v>12036.800211200436</v>
      </c>
      <c r="H400" s="16">
        <f t="shared" si="60"/>
        <v>3388.367542240087</v>
      </c>
      <c r="I400" s="16">
        <f aca="true" t="shared" si="61" ref="I400:I418">G400-H400</f>
        <v>8648.43266896035</v>
      </c>
      <c r="J400" s="18"/>
    </row>
    <row r="401" spans="1:10" ht="15.75" customHeight="1">
      <c r="A401" s="52">
        <v>389</v>
      </c>
      <c r="B401" s="30" t="s">
        <v>148</v>
      </c>
      <c r="C401" s="29">
        <v>1970</v>
      </c>
      <c r="D401" s="44">
        <v>77</v>
      </c>
      <c r="E401" s="16">
        <v>20.5</v>
      </c>
      <c r="F401" s="17">
        <f t="shared" si="58"/>
        <v>0.006983240223463688</v>
      </c>
      <c r="G401" s="16">
        <f t="shared" si="59"/>
        <v>20392.92597765363</v>
      </c>
      <c r="H401" s="16">
        <f t="shared" si="60"/>
        <v>5740.622695530726</v>
      </c>
      <c r="I401" s="16">
        <f t="shared" si="61"/>
        <v>14652.303282122906</v>
      </c>
      <c r="J401" s="18"/>
    </row>
    <row r="402" spans="1:10" ht="15.75" customHeight="1">
      <c r="A402" s="52">
        <v>390</v>
      </c>
      <c r="B402" s="30" t="s">
        <v>148</v>
      </c>
      <c r="C402" s="29">
        <v>1970</v>
      </c>
      <c r="D402" s="44">
        <v>80</v>
      </c>
      <c r="E402" s="16">
        <v>18.1</v>
      </c>
      <c r="F402" s="17">
        <f t="shared" si="58"/>
        <v>0.0061656901485215975</v>
      </c>
      <c r="G402" s="16">
        <f t="shared" si="59"/>
        <v>18005.46147295272</v>
      </c>
      <c r="H402" s="16">
        <f t="shared" si="60"/>
        <v>5068.549794590544</v>
      </c>
      <c r="I402" s="16">
        <f t="shared" si="61"/>
        <v>12936.911678362176</v>
      </c>
      <c r="J402" s="18"/>
    </row>
    <row r="403" spans="1:10" ht="15.75" customHeight="1">
      <c r="A403" s="52">
        <v>391</v>
      </c>
      <c r="B403" s="30" t="s">
        <v>148</v>
      </c>
      <c r="C403" s="29">
        <v>1970</v>
      </c>
      <c r="D403" s="44">
        <v>83</v>
      </c>
      <c r="E403" s="16">
        <v>24.6</v>
      </c>
      <c r="F403" s="17">
        <f t="shared" si="58"/>
        <v>0.008379888268156426</v>
      </c>
      <c r="G403" s="16">
        <f t="shared" si="59"/>
        <v>24471.51117318436</v>
      </c>
      <c r="H403" s="16">
        <f t="shared" si="60"/>
        <v>6888.747234636871</v>
      </c>
      <c r="I403" s="16">
        <f t="shared" si="61"/>
        <v>17582.76393854749</v>
      </c>
      <c r="J403" s="18"/>
    </row>
    <row r="404" spans="1:10" ht="15.75" customHeight="1">
      <c r="A404" s="52">
        <v>392</v>
      </c>
      <c r="B404" s="30" t="s">
        <v>148</v>
      </c>
      <c r="C404" s="29">
        <v>1970</v>
      </c>
      <c r="D404" s="44">
        <v>85</v>
      </c>
      <c r="E404" s="16">
        <v>12.2</v>
      </c>
      <c r="F404" s="17">
        <f t="shared" si="58"/>
        <v>0.004155879547622292</v>
      </c>
      <c r="G404" s="16">
        <f t="shared" si="59"/>
        <v>12136.277898896307</v>
      </c>
      <c r="H404" s="16">
        <f t="shared" si="60"/>
        <v>3416.370579779261</v>
      </c>
      <c r="I404" s="16">
        <f t="shared" si="61"/>
        <v>8719.907319117046</v>
      </c>
      <c r="J404" s="18"/>
    </row>
    <row r="405" spans="1:10" ht="15.75" customHeight="1">
      <c r="A405" s="52">
        <v>393</v>
      </c>
      <c r="B405" s="30" t="s">
        <v>148</v>
      </c>
      <c r="C405" s="29">
        <v>1970</v>
      </c>
      <c r="D405" s="44">
        <v>90</v>
      </c>
      <c r="E405" s="16">
        <v>18.7</v>
      </c>
      <c r="F405" s="17">
        <f t="shared" si="58"/>
        <v>0.006370077667257119</v>
      </c>
      <c r="G405" s="16">
        <f t="shared" si="59"/>
        <v>18602.327599127944</v>
      </c>
      <c r="H405" s="16">
        <f t="shared" si="60"/>
        <v>5236.5680198255895</v>
      </c>
      <c r="I405" s="16">
        <f t="shared" si="61"/>
        <v>13365.759579302354</v>
      </c>
      <c r="J405" s="18"/>
    </row>
    <row r="406" spans="1:10" ht="15.75" customHeight="1">
      <c r="A406" s="52">
        <v>394</v>
      </c>
      <c r="B406" s="30" t="s">
        <v>148</v>
      </c>
      <c r="C406" s="29">
        <v>1970</v>
      </c>
      <c r="D406" s="44">
        <v>108</v>
      </c>
      <c r="E406" s="16">
        <v>12.2</v>
      </c>
      <c r="F406" s="17">
        <f aca="true" t="shared" si="62" ref="F406:F419">1/2935.6*E406</f>
        <v>0.004155879547622292</v>
      </c>
      <c r="G406" s="16">
        <f aca="true" t="shared" si="63" ref="G406:G419">2920267/2935.6*E406</f>
        <v>12136.277898896307</v>
      </c>
      <c r="H406" s="16">
        <f t="shared" si="60"/>
        <v>3416.370579779261</v>
      </c>
      <c r="I406" s="16">
        <f t="shared" si="61"/>
        <v>8719.907319117046</v>
      </c>
      <c r="J406" s="18"/>
    </row>
    <row r="407" spans="1:10" ht="15.75" customHeight="1">
      <c r="A407" s="52">
        <v>395</v>
      </c>
      <c r="B407" s="30" t="s">
        <v>148</v>
      </c>
      <c r="C407" s="29">
        <v>1970</v>
      </c>
      <c r="D407" s="44">
        <v>110</v>
      </c>
      <c r="E407" s="16">
        <v>15.3</v>
      </c>
      <c r="F407" s="17">
        <f t="shared" si="62"/>
        <v>0.005211881727755826</v>
      </c>
      <c r="G407" s="16">
        <f t="shared" si="63"/>
        <v>15220.08621746832</v>
      </c>
      <c r="H407" s="16">
        <f t="shared" si="60"/>
        <v>4284.464743493664</v>
      </c>
      <c r="I407" s="16">
        <f t="shared" si="61"/>
        <v>10935.621473974657</v>
      </c>
      <c r="J407" s="18"/>
    </row>
    <row r="408" spans="1:10" ht="15.75" customHeight="1">
      <c r="A408" s="52">
        <v>396</v>
      </c>
      <c r="B408" s="30" t="s">
        <v>148</v>
      </c>
      <c r="C408" s="29">
        <v>1970</v>
      </c>
      <c r="D408" s="44">
        <v>112</v>
      </c>
      <c r="E408" s="16">
        <v>18.4</v>
      </c>
      <c r="F408" s="17">
        <f t="shared" si="62"/>
        <v>0.0062678839078893584</v>
      </c>
      <c r="G408" s="16">
        <f t="shared" si="63"/>
        <v>18303.89453604033</v>
      </c>
      <c r="H408" s="16">
        <f t="shared" si="60"/>
        <v>5152.558907208066</v>
      </c>
      <c r="I408" s="16">
        <f t="shared" si="61"/>
        <v>13151.335628832265</v>
      </c>
      <c r="J408" s="18"/>
    </row>
    <row r="409" spans="1:10" ht="15.75" customHeight="1">
      <c r="A409" s="52">
        <v>397</v>
      </c>
      <c r="B409" s="30" t="s">
        <v>148</v>
      </c>
      <c r="C409" s="29">
        <v>1970</v>
      </c>
      <c r="D409" s="44">
        <v>113</v>
      </c>
      <c r="E409" s="16">
        <v>17.4</v>
      </c>
      <c r="F409" s="17">
        <f t="shared" si="62"/>
        <v>0.005927238043330154</v>
      </c>
      <c r="G409" s="16">
        <f t="shared" si="63"/>
        <v>17309.117659081618</v>
      </c>
      <c r="H409" s="16">
        <f t="shared" si="60"/>
        <v>4872.528531816323</v>
      </c>
      <c r="I409" s="16">
        <f t="shared" si="61"/>
        <v>12436.589127265295</v>
      </c>
      <c r="J409" s="18"/>
    </row>
    <row r="410" spans="1:10" ht="15.75" customHeight="1">
      <c r="A410" s="52">
        <v>398</v>
      </c>
      <c r="B410" s="30" t="s">
        <v>148</v>
      </c>
      <c r="C410" s="29">
        <v>1970</v>
      </c>
      <c r="D410" s="44">
        <v>115</v>
      </c>
      <c r="E410" s="16">
        <v>19</v>
      </c>
      <c r="F410" s="17">
        <f t="shared" si="62"/>
        <v>0.006472271426624881</v>
      </c>
      <c r="G410" s="16">
        <f t="shared" si="63"/>
        <v>18900.76066221556</v>
      </c>
      <c r="H410" s="16">
        <f t="shared" si="60"/>
        <v>5320.577132443112</v>
      </c>
      <c r="I410" s="16">
        <f t="shared" si="61"/>
        <v>13580.18352977245</v>
      </c>
      <c r="J410" s="18"/>
    </row>
    <row r="411" spans="1:10" ht="15.75" customHeight="1">
      <c r="A411" s="52">
        <v>399</v>
      </c>
      <c r="B411" s="30" t="s">
        <v>148</v>
      </c>
      <c r="C411" s="29">
        <v>1970</v>
      </c>
      <c r="D411" s="44">
        <v>129</v>
      </c>
      <c r="E411" s="16">
        <v>12.3</v>
      </c>
      <c r="F411" s="17">
        <f t="shared" si="62"/>
        <v>0.004189944134078213</v>
      </c>
      <c r="G411" s="16">
        <f t="shared" si="63"/>
        <v>12235.75558659218</v>
      </c>
      <c r="H411" s="16">
        <f t="shared" si="60"/>
        <v>3444.3736173184357</v>
      </c>
      <c r="I411" s="16">
        <f t="shared" si="61"/>
        <v>8791.381969273745</v>
      </c>
      <c r="J411" s="18"/>
    </row>
    <row r="412" spans="1:10" ht="15.75" customHeight="1">
      <c r="A412" s="52">
        <v>400</v>
      </c>
      <c r="B412" s="30" t="s">
        <v>148</v>
      </c>
      <c r="C412" s="29">
        <v>1970</v>
      </c>
      <c r="D412" s="44">
        <v>133</v>
      </c>
      <c r="E412" s="16">
        <v>22.1</v>
      </c>
      <c r="F412" s="17">
        <f t="shared" si="62"/>
        <v>0.007528273606758415</v>
      </c>
      <c r="G412" s="16">
        <f t="shared" si="63"/>
        <v>21984.568980787575</v>
      </c>
      <c r="H412" s="16">
        <f t="shared" si="60"/>
        <v>6188.671296157515</v>
      </c>
      <c r="I412" s="16">
        <f t="shared" si="61"/>
        <v>15795.897684630061</v>
      </c>
      <c r="J412" s="18"/>
    </row>
    <row r="413" spans="1:10" ht="15.75" customHeight="1">
      <c r="A413" s="52">
        <v>401</v>
      </c>
      <c r="B413" s="30" t="s">
        <v>148</v>
      </c>
      <c r="C413" s="29">
        <v>1970</v>
      </c>
      <c r="D413" s="44">
        <v>139</v>
      </c>
      <c r="E413" s="16">
        <v>19.2</v>
      </c>
      <c r="F413" s="17">
        <f t="shared" si="62"/>
        <v>0.0065404005995367215</v>
      </c>
      <c r="G413" s="16">
        <f t="shared" si="63"/>
        <v>19099.716037607304</v>
      </c>
      <c r="H413" s="16">
        <f t="shared" si="60"/>
        <v>5376.58320752146</v>
      </c>
      <c r="I413" s="16">
        <f t="shared" si="61"/>
        <v>13723.132830085844</v>
      </c>
      <c r="J413" s="18"/>
    </row>
    <row r="414" spans="1:10" ht="15.75" customHeight="1">
      <c r="A414" s="52">
        <v>402</v>
      </c>
      <c r="B414" s="30" t="s">
        <v>148</v>
      </c>
      <c r="C414" s="29">
        <v>1970</v>
      </c>
      <c r="D414" s="44">
        <v>140</v>
      </c>
      <c r="E414" s="16">
        <v>12.4</v>
      </c>
      <c r="F414" s="17">
        <f t="shared" si="62"/>
        <v>0.004224008720534133</v>
      </c>
      <c r="G414" s="16">
        <f t="shared" si="63"/>
        <v>12335.23327428805</v>
      </c>
      <c r="H414" s="16">
        <f t="shared" si="60"/>
        <v>3472.37665485761</v>
      </c>
      <c r="I414" s="16">
        <f t="shared" si="61"/>
        <v>8862.85661943044</v>
      </c>
      <c r="J414" s="18"/>
    </row>
    <row r="415" spans="1:10" ht="15.75" customHeight="1">
      <c r="A415" s="52">
        <v>403</v>
      </c>
      <c r="B415" s="30" t="s">
        <v>148</v>
      </c>
      <c r="C415" s="29">
        <v>1970</v>
      </c>
      <c r="D415" s="44">
        <v>141</v>
      </c>
      <c r="E415" s="16">
        <v>12.4</v>
      </c>
      <c r="F415" s="17">
        <f t="shared" si="62"/>
        <v>0.004224008720534133</v>
      </c>
      <c r="G415" s="16">
        <f t="shared" si="63"/>
        <v>12335.23327428805</v>
      </c>
      <c r="H415" s="16">
        <f t="shared" si="60"/>
        <v>3472.37665485761</v>
      </c>
      <c r="I415" s="16">
        <f t="shared" si="61"/>
        <v>8862.85661943044</v>
      </c>
      <c r="J415" s="18"/>
    </row>
    <row r="416" spans="1:10" ht="15.75" customHeight="1">
      <c r="A416" s="52">
        <v>404</v>
      </c>
      <c r="B416" s="30" t="s">
        <v>148</v>
      </c>
      <c r="C416" s="29">
        <v>1970</v>
      </c>
      <c r="D416" s="44">
        <v>148</v>
      </c>
      <c r="E416" s="16">
        <v>19.7</v>
      </c>
      <c r="F416" s="17">
        <f t="shared" si="62"/>
        <v>0.006710723531816324</v>
      </c>
      <c r="G416" s="16">
        <f t="shared" si="63"/>
        <v>19597.10447608666</v>
      </c>
      <c r="H416" s="16">
        <f t="shared" si="60"/>
        <v>5516.598395217332</v>
      </c>
      <c r="I416" s="16">
        <f t="shared" si="61"/>
        <v>14080.506080869329</v>
      </c>
      <c r="J416" s="18"/>
    </row>
    <row r="417" spans="1:10" ht="15.75" customHeight="1">
      <c r="A417" s="52">
        <v>405</v>
      </c>
      <c r="B417" s="30" t="s">
        <v>148</v>
      </c>
      <c r="C417" s="29">
        <v>1970</v>
      </c>
      <c r="D417" s="44">
        <v>151</v>
      </c>
      <c r="E417" s="16">
        <v>12.4</v>
      </c>
      <c r="F417" s="17">
        <f t="shared" si="62"/>
        <v>0.004224008720534133</v>
      </c>
      <c r="G417" s="16">
        <f t="shared" si="63"/>
        <v>12335.23327428805</v>
      </c>
      <c r="H417" s="16">
        <f t="shared" si="60"/>
        <v>3472.37665485761</v>
      </c>
      <c r="I417" s="16">
        <f t="shared" si="61"/>
        <v>8862.85661943044</v>
      </c>
      <c r="J417" s="18"/>
    </row>
    <row r="418" spans="1:10" ht="15.75" customHeight="1">
      <c r="A418" s="52">
        <v>406</v>
      </c>
      <c r="B418" s="30" t="s">
        <v>148</v>
      </c>
      <c r="C418" s="29">
        <v>1970</v>
      </c>
      <c r="D418" s="44">
        <v>153</v>
      </c>
      <c r="E418" s="16">
        <v>24.2</v>
      </c>
      <c r="F418" s="17">
        <f t="shared" si="62"/>
        <v>0.008243629922332744</v>
      </c>
      <c r="G418" s="16">
        <f t="shared" si="63"/>
        <v>24073.600422400872</v>
      </c>
      <c r="H418" s="16">
        <f t="shared" si="60"/>
        <v>6776.735084480174</v>
      </c>
      <c r="I418" s="16">
        <f t="shared" si="61"/>
        <v>17296.8653379207</v>
      </c>
      <c r="J418" s="18"/>
    </row>
    <row r="419" spans="1:10" ht="15.75" customHeight="1">
      <c r="A419" s="52">
        <v>407</v>
      </c>
      <c r="B419" s="30" t="s">
        <v>148</v>
      </c>
      <c r="C419" s="29">
        <v>1970</v>
      </c>
      <c r="D419" s="44">
        <v>161</v>
      </c>
      <c r="E419" s="16">
        <v>18.8</v>
      </c>
      <c r="F419" s="17">
        <f t="shared" si="62"/>
        <v>0.006404142253713041</v>
      </c>
      <c r="G419" s="16">
        <f t="shared" si="63"/>
        <v>18701.80528682382</v>
      </c>
      <c r="H419" s="16">
        <f t="shared" si="60"/>
        <v>5264.571057364764</v>
      </c>
      <c r="I419" s="16">
        <f aca="true" t="shared" si="64" ref="I419:I427">G419-H419</f>
        <v>13437.234229459056</v>
      </c>
      <c r="J419" s="18"/>
    </row>
    <row r="420" spans="1:10" ht="15.75" customHeight="1">
      <c r="A420" s="52">
        <v>408</v>
      </c>
      <c r="B420" s="30" t="s">
        <v>149</v>
      </c>
      <c r="C420" s="29">
        <v>1974</v>
      </c>
      <c r="D420" s="44">
        <v>39</v>
      </c>
      <c r="E420" s="16">
        <v>30.1</v>
      </c>
      <c r="F420" s="17">
        <f>1/3455.5*E420</f>
        <v>0.008710750976703806</v>
      </c>
      <c r="G420" s="16">
        <f>3103063.81/3455.5*E420</f>
        <v>27030.016113731734</v>
      </c>
      <c r="H420" s="16">
        <f>1075336.67/3455.5*E420+G420*1%</f>
        <v>9637.290109625234</v>
      </c>
      <c r="I420" s="16">
        <f t="shared" si="64"/>
        <v>17392.726004106502</v>
      </c>
      <c r="J420" s="18"/>
    </row>
    <row r="421" spans="1:10" ht="15.75" customHeight="1">
      <c r="A421" s="52">
        <v>409</v>
      </c>
      <c r="B421" s="50" t="s">
        <v>49</v>
      </c>
      <c r="C421" s="51">
        <v>1997</v>
      </c>
      <c r="D421" s="44">
        <v>47</v>
      </c>
      <c r="E421" s="16">
        <v>68.9</v>
      </c>
      <c r="F421" s="17">
        <v>0.012057575359846</v>
      </c>
      <c r="G421" s="16">
        <f aca="true" t="shared" si="65" ref="G421:G431">9616026.15/5714.25*E421</f>
        <v>115945.9599658748</v>
      </c>
      <c r="H421" s="16">
        <f>1095160.9/5714.25*E421+G421*1%</f>
        <v>14364.444682565518</v>
      </c>
      <c r="I421" s="16">
        <f t="shared" si="64"/>
        <v>101581.51528330929</v>
      </c>
      <c r="J421" s="18"/>
    </row>
    <row r="422" spans="1:10" ht="15.75" customHeight="1">
      <c r="A422" s="52">
        <v>410</v>
      </c>
      <c r="B422" s="50" t="s">
        <v>49</v>
      </c>
      <c r="C422" s="51">
        <v>1997</v>
      </c>
      <c r="D422" s="44">
        <v>89</v>
      </c>
      <c r="E422" s="16">
        <v>50.59</v>
      </c>
      <c r="F422" s="17">
        <v>0.008853305333158333</v>
      </c>
      <c r="G422" s="16">
        <f t="shared" si="65"/>
        <v>85133.615597585</v>
      </c>
      <c r="H422" s="16">
        <f aca="true" t="shared" si="66" ref="H422:H431">1095160.9/5714.25*E422+G422*1%</f>
        <v>10547.12999261233</v>
      </c>
      <c r="I422" s="16">
        <f t="shared" si="64"/>
        <v>74586.48560497267</v>
      </c>
      <c r="J422" s="18"/>
    </row>
    <row r="423" spans="1:10" ht="15.75" customHeight="1">
      <c r="A423" s="52">
        <v>411</v>
      </c>
      <c r="B423" s="50" t="s">
        <v>49</v>
      </c>
      <c r="C423" s="51">
        <v>1997</v>
      </c>
      <c r="D423" s="44">
        <v>93</v>
      </c>
      <c r="E423" s="16">
        <v>46</v>
      </c>
      <c r="F423" s="17">
        <v>0.008050050312814454</v>
      </c>
      <c r="G423" s="16">
        <f t="shared" si="65"/>
        <v>77409.49431683948</v>
      </c>
      <c r="H423" s="16">
        <f t="shared" si="66"/>
        <v>9590.195288795554</v>
      </c>
      <c r="I423" s="16">
        <f t="shared" si="64"/>
        <v>67819.29902804393</v>
      </c>
      <c r="J423" s="18"/>
    </row>
    <row r="424" spans="1:10" ht="15.75" customHeight="1">
      <c r="A424" s="52">
        <v>412</v>
      </c>
      <c r="B424" s="50" t="s">
        <v>49</v>
      </c>
      <c r="C424" s="51">
        <v>1997</v>
      </c>
      <c r="D424" s="44">
        <v>99</v>
      </c>
      <c r="E424" s="16">
        <v>81.6</v>
      </c>
      <c r="F424" s="17">
        <v>0.014280089250557815</v>
      </c>
      <c r="G424" s="16">
        <f t="shared" si="65"/>
        <v>137317.71165769786</v>
      </c>
      <c r="H424" s="16">
        <f t="shared" si="66"/>
        <v>17012.1725122982</v>
      </c>
      <c r="I424" s="16">
        <f t="shared" si="64"/>
        <v>120305.53914539966</v>
      </c>
      <c r="J424" s="18"/>
    </row>
    <row r="425" spans="1:10" ht="15.75" customHeight="1">
      <c r="A425" s="52">
        <v>413</v>
      </c>
      <c r="B425" s="50" t="s">
        <v>49</v>
      </c>
      <c r="C425" s="51">
        <v>1997</v>
      </c>
      <c r="D425" s="44">
        <v>103</v>
      </c>
      <c r="E425" s="16">
        <v>67.9</v>
      </c>
      <c r="F425" s="17">
        <v>0.011882574266089165</v>
      </c>
      <c r="G425" s="16">
        <f t="shared" si="65"/>
        <v>114263.14487203046</v>
      </c>
      <c r="H425" s="16">
        <f t="shared" si="66"/>
        <v>14155.962176287354</v>
      </c>
      <c r="I425" s="16">
        <f t="shared" si="64"/>
        <v>100107.1826957431</v>
      </c>
      <c r="J425" s="18"/>
    </row>
    <row r="426" spans="1:10" ht="15.75" customHeight="1">
      <c r="A426" s="52">
        <v>414</v>
      </c>
      <c r="B426" s="50" t="s">
        <v>49</v>
      </c>
      <c r="C426" s="51">
        <v>1997</v>
      </c>
      <c r="D426" s="44">
        <v>107</v>
      </c>
      <c r="E426" s="16">
        <v>49.5</v>
      </c>
      <c r="F426" s="17">
        <v>0.008662554140963381</v>
      </c>
      <c r="G426" s="16">
        <f t="shared" si="65"/>
        <v>83299.34714529467</v>
      </c>
      <c r="H426" s="16">
        <f t="shared" si="66"/>
        <v>10319.884060769129</v>
      </c>
      <c r="I426" s="16">
        <f t="shared" si="64"/>
        <v>72979.46308452555</v>
      </c>
      <c r="J426" s="18"/>
    </row>
    <row r="427" spans="1:10" ht="15.75" customHeight="1">
      <c r="A427" s="52">
        <v>415</v>
      </c>
      <c r="B427" s="50" t="s">
        <v>49</v>
      </c>
      <c r="C427" s="51">
        <v>1997</v>
      </c>
      <c r="D427" s="44">
        <v>108</v>
      </c>
      <c r="E427" s="16">
        <v>31.1</v>
      </c>
      <c r="F427" s="17">
        <v>0.005442534015837599</v>
      </c>
      <c r="G427" s="16">
        <f t="shared" si="65"/>
        <v>52335.54941855887</v>
      </c>
      <c r="H427" s="16">
        <f t="shared" si="66"/>
        <v>6483.805945250908</v>
      </c>
      <c r="I427" s="16">
        <f t="shared" si="64"/>
        <v>45851.74347330796</v>
      </c>
      <c r="J427" s="18"/>
    </row>
    <row r="428" spans="1:10" ht="15.75" customHeight="1">
      <c r="A428" s="52">
        <v>416</v>
      </c>
      <c r="B428" s="50" t="s">
        <v>49</v>
      </c>
      <c r="C428" s="51">
        <v>1997</v>
      </c>
      <c r="D428" s="44">
        <v>109</v>
      </c>
      <c r="E428" s="16">
        <v>52.9</v>
      </c>
      <c r="F428" s="17">
        <v>0.009257557859736623</v>
      </c>
      <c r="G428" s="16">
        <f t="shared" si="65"/>
        <v>89020.9184643654</v>
      </c>
      <c r="H428" s="16">
        <f t="shared" si="66"/>
        <v>11028.724582114888</v>
      </c>
      <c r="I428" s="16">
        <f>G428-H428</f>
        <v>77992.19388225052</v>
      </c>
      <c r="J428" s="18"/>
    </row>
    <row r="429" spans="1:10" ht="15.75" customHeight="1">
      <c r="A429" s="52">
        <v>417</v>
      </c>
      <c r="B429" s="50" t="s">
        <v>49</v>
      </c>
      <c r="C429" s="51">
        <v>1997</v>
      </c>
      <c r="D429" s="44">
        <v>110</v>
      </c>
      <c r="E429" s="16">
        <v>52.2</v>
      </c>
      <c r="F429" s="17">
        <v>0.009135057094106839</v>
      </c>
      <c r="G429" s="16">
        <f t="shared" si="65"/>
        <v>87842.94789867438</v>
      </c>
      <c r="H429" s="16">
        <f t="shared" si="66"/>
        <v>10882.786827720174</v>
      </c>
      <c r="I429" s="16">
        <f>G429-H429</f>
        <v>76960.1610709542</v>
      </c>
      <c r="J429" s="18"/>
    </row>
    <row r="430" spans="1:10" ht="15.75" customHeight="1">
      <c r="A430" s="52">
        <v>418</v>
      </c>
      <c r="B430" s="50" t="s">
        <v>49</v>
      </c>
      <c r="C430" s="51">
        <v>1997</v>
      </c>
      <c r="D430" s="44">
        <v>121</v>
      </c>
      <c r="E430" s="16">
        <v>48.7</v>
      </c>
      <c r="F430" s="17">
        <v>0.008522553265957912</v>
      </c>
      <c r="G430" s="16">
        <f t="shared" si="65"/>
        <v>81953.09507021919</v>
      </c>
      <c r="H430" s="16">
        <f t="shared" si="66"/>
        <v>10153.0980557466</v>
      </c>
      <c r="I430" s="16">
        <f>G430-H430</f>
        <v>71799.9970144726</v>
      </c>
      <c r="J430" s="18"/>
    </row>
    <row r="431" spans="1:10" ht="15.75" customHeight="1">
      <c r="A431" s="52">
        <v>419</v>
      </c>
      <c r="B431" s="50" t="s">
        <v>49</v>
      </c>
      <c r="C431" s="51">
        <v>1997</v>
      </c>
      <c r="D431" s="44">
        <v>127</v>
      </c>
      <c r="E431" s="16">
        <v>69.26</v>
      </c>
      <c r="F431" s="17">
        <v>0.012120575753598461</v>
      </c>
      <c r="G431" s="16">
        <f t="shared" si="65"/>
        <v>116551.77339965876</v>
      </c>
      <c r="H431" s="16">
        <f t="shared" si="66"/>
        <v>14439.498384825656</v>
      </c>
      <c r="I431" s="16">
        <f>G431-H431</f>
        <v>102112.27501483311</v>
      </c>
      <c r="J431" s="18"/>
    </row>
    <row r="432" spans="1:10" ht="15.75" customHeight="1">
      <c r="A432" s="52">
        <v>420</v>
      </c>
      <c r="B432" s="30" t="s">
        <v>105</v>
      </c>
      <c r="C432" s="29">
        <v>1949</v>
      </c>
      <c r="D432" s="40">
        <v>3</v>
      </c>
      <c r="E432" s="16">
        <v>65.2</v>
      </c>
      <c r="F432" s="19">
        <v>0.1497129735935706</v>
      </c>
      <c r="G432" s="16">
        <f>388168/435.5*E432</f>
        <v>58113.785533869115</v>
      </c>
      <c r="H432" s="16">
        <f>304389.21/435.5*E432+G432*1%</f>
        <v>46152.151614236514</v>
      </c>
      <c r="I432" s="16">
        <f>G432-H432</f>
        <v>11961.6339196326</v>
      </c>
      <c r="J432" s="18"/>
    </row>
    <row r="433" spans="1:10" ht="15.75" customHeight="1">
      <c r="A433" s="52">
        <v>421</v>
      </c>
      <c r="B433" s="30" t="s">
        <v>106</v>
      </c>
      <c r="C433" s="29">
        <v>1995</v>
      </c>
      <c r="D433" s="40">
        <v>8</v>
      </c>
      <c r="E433" s="16">
        <v>52.6</v>
      </c>
      <c r="F433" s="19">
        <v>0.010345573628621442</v>
      </c>
      <c r="G433" s="16">
        <f aca="true" t="shared" si="67" ref="G433:G444">2659110/5084.3*E433</f>
        <v>27510.018291603566</v>
      </c>
      <c r="H433" s="16">
        <f>330406.25/5084.3*E433+G433*1%</f>
        <v>3693.3423696477385</v>
      </c>
      <c r="I433" s="16">
        <f aca="true" t="shared" si="68" ref="I433:I444">G433-H433</f>
        <v>23816.67592195583</v>
      </c>
      <c r="J433" s="18"/>
    </row>
    <row r="434" spans="1:10" ht="15.75" customHeight="1">
      <c r="A434" s="52">
        <v>422</v>
      </c>
      <c r="B434" s="30" t="s">
        <v>106</v>
      </c>
      <c r="C434" s="29">
        <v>1995</v>
      </c>
      <c r="D434" s="40">
        <v>14</v>
      </c>
      <c r="E434" s="16">
        <v>52.6</v>
      </c>
      <c r="F434" s="19">
        <v>0.010345573628621442</v>
      </c>
      <c r="G434" s="16">
        <f t="shared" si="67"/>
        <v>27510.018291603566</v>
      </c>
      <c r="H434" s="16">
        <f aca="true" t="shared" si="69" ref="H434:H444">330406.25/5084.3*E434+G434*1%</f>
        <v>3693.3423696477385</v>
      </c>
      <c r="I434" s="16">
        <f t="shared" si="68"/>
        <v>23816.67592195583</v>
      </c>
      <c r="J434" s="18"/>
    </row>
    <row r="435" spans="1:10" ht="15.75" customHeight="1">
      <c r="A435" s="52">
        <v>423</v>
      </c>
      <c r="B435" s="30" t="s">
        <v>106</v>
      </c>
      <c r="C435" s="29">
        <v>1995</v>
      </c>
      <c r="D435" s="40">
        <v>27</v>
      </c>
      <c r="E435" s="16">
        <v>50.6</v>
      </c>
      <c r="F435" s="19">
        <v>0.009952205810042681</v>
      </c>
      <c r="G435" s="16">
        <f t="shared" si="67"/>
        <v>26464.009991542593</v>
      </c>
      <c r="H435" s="16">
        <f t="shared" si="69"/>
        <v>3552.9111008398404</v>
      </c>
      <c r="I435" s="16">
        <f t="shared" si="68"/>
        <v>22911.098890702753</v>
      </c>
      <c r="J435" s="18"/>
    </row>
    <row r="436" spans="1:10" ht="15.75" customHeight="1">
      <c r="A436" s="52">
        <v>424</v>
      </c>
      <c r="B436" s="30" t="s">
        <v>106</v>
      </c>
      <c r="C436" s="29">
        <v>1995</v>
      </c>
      <c r="D436" s="40">
        <v>29</v>
      </c>
      <c r="E436" s="16">
        <v>53.6</v>
      </c>
      <c r="F436" s="19">
        <v>0.010542257537910823</v>
      </c>
      <c r="G436" s="16">
        <f t="shared" si="67"/>
        <v>28033.02244163405</v>
      </c>
      <c r="H436" s="16">
        <f t="shared" si="69"/>
        <v>3763.5580040516884</v>
      </c>
      <c r="I436" s="16">
        <f t="shared" si="68"/>
        <v>24269.464437582363</v>
      </c>
      <c r="J436" s="18"/>
    </row>
    <row r="437" spans="1:10" ht="15.75" customHeight="1">
      <c r="A437" s="52">
        <v>425</v>
      </c>
      <c r="B437" s="30" t="s">
        <v>106</v>
      </c>
      <c r="C437" s="29">
        <v>1995</v>
      </c>
      <c r="D437" s="40">
        <v>31</v>
      </c>
      <c r="E437" s="16">
        <v>49.8</v>
      </c>
      <c r="F437" s="19">
        <v>0.009794858682611174</v>
      </c>
      <c r="G437" s="16">
        <f t="shared" si="67"/>
        <v>26045.606671518202</v>
      </c>
      <c r="H437" s="16">
        <f t="shared" si="69"/>
        <v>3496.7385933166797</v>
      </c>
      <c r="I437" s="16">
        <f t="shared" si="68"/>
        <v>22548.86807820152</v>
      </c>
      <c r="J437" s="18"/>
    </row>
    <row r="438" spans="1:10" ht="15.75" customHeight="1">
      <c r="A438" s="52">
        <v>426</v>
      </c>
      <c r="B438" s="30" t="s">
        <v>106</v>
      </c>
      <c r="C438" s="29">
        <v>1995</v>
      </c>
      <c r="D438" s="40">
        <v>39</v>
      </c>
      <c r="E438" s="16">
        <v>50.3</v>
      </c>
      <c r="F438" s="19">
        <v>0.009893200637255866</v>
      </c>
      <c r="G438" s="16">
        <f t="shared" si="67"/>
        <v>26307.108746533446</v>
      </c>
      <c r="H438" s="16">
        <f t="shared" si="69"/>
        <v>3531.846410518655</v>
      </c>
      <c r="I438" s="16">
        <f t="shared" si="68"/>
        <v>22775.26233601479</v>
      </c>
      <c r="J438" s="18"/>
    </row>
    <row r="439" spans="1:10" ht="15.75" customHeight="1">
      <c r="A439" s="52">
        <v>427</v>
      </c>
      <c r="B439" s="30" t="s">
        <v>106</v>
      </c>
      <c r="C439" s="29">
        <v>1995</v>
      </c>
      <c r="D439" s="40">
        <v>61</v>
      </c>
      <c r="E439" s="16">
        <v>50.1</v>
      </c>
      <c r="F439" s="19">
        <v>0.00985386385539799</v>
      </c>
      <c r="G439" s="16">
        <f t="shared" si="67"/>
        <v>26202.50791652735</v>
      </c>
      <c r="H439" s="16">
        <f t="shared" si="69"/>
        <v>3517.803283637865</v>
      </c>
      <c r="I439" s="16">
        <f t="shared" si="68"/>
        <v>22684.704632889483</v>
      </c>
      <c r="J439" s="18"/>
    </row>
    <row r="440" spans="1:10" ht="15.75" customHeight="1">
      <c r="A440" s="52">
        <v>428</v>
      </c>
      <c r="B440" s="30" t="s">
        <v>106</v>
      </c>
      <c r="C440" s="29">
        <v>1995</v>
      </c>
      <c r="D440" s="40">
        <v>65</v>
      </c>
      <c r="E440" s="16">
        <v>54.1</v>
      </c>
      <c r="F440" s="19">
        <v>0.010640599492555514</v>
      </c>
      <c r="G440" s="16">
        <f t="shared" si="67"/>
        <v>28294.524516649293</v>
      </c>
      <c r="H440" s="16">
        <f t="shared" si="69"/>
        <v>3798.6658212536627</v>
      </c>
      <c r="I440" s="16">
        <f t="shared" si="68"/>
        <v>24495.85869539563</v>
      </c>
      <c r="J440" s="18"/>
    </row>
    <row r="441" spans="1:10" ht="15.75" customHeight="1">
      <c r="A441" s="52">
        <v>429</v>
      </c>
      <c r="B441" s="30" t="s">
        <v>106</v>
      </c>
      <c r="C441" s="29">
        <v>1995</v>
      </c>
      <c r="D441" s="40">
        <v>76</v>
      </c>
      <c r="E441" s="16">
        <v>50.7</v>
      </c>
      <c r="F441" s="19">
        <v>0.009971874200971618</v>
      </c>
      <c r="G441" s="16">
        <f t="shared" si="67"/>
        <v>26516.310406545643</v>
      </c>
      <c r="H441" s="16">
        <f t="shared" si="69"/>
        <v>3559.9326642802353</v>
      </c>
      <c r="I441" s="16">
        <f t="shared" si="68"/>
        <v>22956.37774226541</v>
      </c>
      <c r="J441" s="18"/>
    </row>
    <row r="442" spans="1:10" ht="15.75" customHeight="1">
      <c r="A442" s="52">
        <v>430</v>
      </c>
      <c r="B442" s="30" t="s">
        <v>106</v>
      </c>
      <c r="C442" s="29">
        <v>1995</v>
      </c>
      <c r="D442" s="40">
        <v>86</v>
      </c>
      <c r="E442" s="16">
        <v>53.2</v>
      </c>
      <c r="F442" s="19">
        <v>0.010463583974195072</v>
      </c>
      <c r="G442" s="16">
        <f t="shared" si="67"/>
        <v>27823.820781621856</v>
      </c>
      <c r="H442" s="16">
        <f t="shared" si="69"/>
        <v>3735.4717502901085</v>
      </c>
      <c r="I442" s="16">
        <f t="shared" si="68"/>
        <v>24088.34903133175</v>
      </c>
      <c r="J442" s="18"/>
    </row>
    <row r="443" spans="1:10" ht="15.75" customHeight="1">
      <c r="A443" s="52">
        <v>431</v>
      </c>
      <c r="B443" s="30" t="s">
        <v>106</v>
      </c>
      <c r="C443" s="29">
        <v>1995</v>
      </c>
      <c r="D443" s="40">
        <v>91</v>
      </c>
      <c r="E443" s="16">
        <v>68.9</v>
      </c>
      <c r="F443" s="19">
        <v>0.013551521350038355</v>
      </c>
      <c r="G443" s="16">
        <f t="shared" si="67"/>
        <v>36034.985937100486</v>
      </c>
      <c r="H443" s="16">
        <f t="shared" si="69"/>
        <v>4837.857210432114</v>
      </c>
      <c r="I443" s="16">
        <f t="shared" si="68"/>
        <v>31197.128726668372</v>
      </c>
      <c r="J443" s="18"/>
    </row>
    <row r="444" spans="1:10" ht="15.75" customHeight="1">
      <c r="A444" s="52">
        <v>432</v>
      </c>
      <c r="B444" s="30" t="s">
        <v>106</v>
      </c>
      <c r="C444" s="29">
        <v>1995</v>
      </c>
      <c r="D444" s="40">
        <v>94</v>
      </c>
      <c r="E444" s="16">
        <v>68.9</v>
      </c>
      <c r="F444" s="19">
        <v>0.013551521350038355</v>
      </c>
      <c r="G444" s="16">
        <f t="shared" si="67"/>
        <v>36034.985937100486</v>
      </c>
      <c r="H444" s="16">
        <f t="shared" si="69"/>
        <v>4837.857210432114</v>
      </c>
      <c r="I444" s="16">
        <f t="shared" si="68"/>
        <v>31197.128726668372</v>
      </c>
      <c r="J444" s="18"/>
    </row>
    <row r="445" spans="1:10" ht="15.75" customHeight="1">
      <c r="A445" s="52">
        <v>433</v>
      </c>
      <c r="B445" s="30" t="s">
        <v>107</v>
      </c>
      <c r="C445" s="29">
        <v>1987</v>
      </c>
      <c r="D445" s="40">
        <v>13</v>
      </c>
      <c r="E445" s="16">
        <v>47.9</v>
      </c>
      <c r="F445" s="19">
        <v>0.016028644090483202</v>
      </c>
      <c r="G445" s="16">
        <f>2595117/2988.4*E445</f>
        <v>41596.20676616249</v>
      </c>
      <c r="H445" s="16">
        <f>531569.68/2988.4*E445+G445*1%</f>
        <v>8936.30327767367</v>
      </c>
      <c r="I445" s="16">
        <f aca="true" t="shared" si="70" ref="I445:I451">G445-H445</f>
        <v>32659.903488488817</v>
      </c>
      <c r="J445" s="18"/>
    </row>
    <row r="446" spans="1:10" ht="15.75" customHeight="1">
      <c r="A446" s="52">
        <v>434</v>
      </c>
      <c r="B446" s="30" t="s">
        <v>107</v>
      </c>
      <c r="C446" s="29">
        <v>1987</v>
      </c>
      <c r="D446" s="40">
        <v>44</v>
      </c>
      <c r="E446" s="16">
        <v>46.7</v>
      </c>
      <c r="F446" s="19">
        <v>0.015627091420157946</v>
      </c>
      <c r="G446" s="16">
        <f>2595117/2988.4*E446</f>
        <v>40554.13060500602</v>
      </c>
      <c r="H446" s="16">
        <f>531569.68/2988.4*E446+G446*1%</f>
        <v>8712.429291594164</v>
      </c>
      <c r="I446" s="16">
        <f t="shared" si="70"/>
        <v>31841.70131341186</v>
      </c>
      <c r="J446" s="18"/>
    </row>
    <row r="447" spans="1:10" ht="15.75" customHeight="1">
      <c r="A447" s="52">
        <v>435</v>
      </c>
      <c r="B447" s="30" t="s">
        <v>107</v>
      </c>
      <c r="C447" s="29">
        <v>1987</v>
      </c>
      <c r="D447" s="40">
        <v>47</v>
      </c>
      <c r="E447" s="16">
        <v>63.4</v>
      </c>
      <c r="F447" s="19">
        <v>0.021215366082184446</v>
      </c>
      <c r="G447" s="16">
        <f>2595117/2988.4*E447</f>
        <v>55056.35718110025</v>
      </c>
      <c r="H447" s="16">
        <f>531569.68/2988.4*E447+G447*1%</f>
        <v>11828.008931200642</v>
      </c>
      <c r="I447" s="16">
        <f t="shared" si="70"/>
        <v>43228.3482498996</v>
      </c>
      <c r="J447" s="18"/>
    </row>
    <row r="448" spans="1:10" ht="15.75" customHeight="1">
      <c r="A448" s="52">
        <v>436</v>
      </c>
      <c r="B448" s="30" t="s">
        <v>108</v>
      </c>
      <c r="C448" s="29">
        <v>1988</v>
      </c>
      <c r="D448" s="40">
        <v>95</v>
      </c>
      <c r="E448" s="16">
        <v>52.6</v>
      </c>
      <c r="F448" s="19">
        <v>0.00806439248754312</v>
      </c>
      <c r="G448" s="16">
        <f>5868656/6522.5*E448</f>
        <v>47327.14535837486</v>
      </c>
      <c r="H448" s="16">
        <f>987875.09/6522.5*E448+G448*1%</f>
        <v>8439.883908010732</v>
      </c>
      <c r="I448" s="16">
        <f t="shared" si="70"/>
        <v>38887.26145036412</v>
      </c>
      <c r="J448" s="18"/>
    </row>
    <row r="449" spans="1:10" ht="15.75" customHeight="1">
      <c r="A449" s="52">
        <v>437</v>
      </c>
      <c r="B449" s="30" t="s">
        <v>108</v>
      </c>
      <c r="C449" s="29">
        <v>1988</v>
      </c>
      <c r="D449" s="40">
        <v>96</v>
      </c>
      <c r="E449" s="16">
        <v>52.5</v>
      </c>
      <c r="F449" s="19">
        <v>0.008049060942889995</v>
      </c>
      <c r="G449" s="16">
        <f>5868656/6522.5*E449</f>
        <v>47237.16979685703</v>
      </c>
      <c r="H449" s="16">
        <f>987875.09/6522.5*E449+G449*1%</f>
        <v>8423.83850134151</v>
      </c>
      <c r="I449" s="16">
        <f t="shared" si="70"/>
        <v>38813.33129551552</v>
      </c>
      <c r="J449" s="18"/>
    </row>
    <row r="450" spans="1:10" ht="15.75" customHeight="1">
      <c r="A450" s="52">
        <v>438</v>
      </c>
      <c r="B450" s="30" t="s">
        <v>150</v>
      </c>
      <c r="C450" s="29">
        <v>1958</v>
      </c>
      <c r="D450" s="44">
        <v>5</v>
      </c>
      <c r="E450" s="16">
        <v>43.2</v>
      </c>
      <c r="F450" s="17">
        <v>0.2288135593220339</v>
      </c>
      <c r="G450" s="16">
        <f>105863/188.8*E450</f>
        <v>24222.889830508473</v>
      </c>
      <c r="H450" s="16">
        <f>72646.05/188.8*E450+G450*1%</f>
        <v>16864.630169491527</v>
      </c>
      <c r="I450" s="16">
        <f t="shared" si="70"/>
        <v>7358.259661016946</v>
      </c>
      <c r="J450" s="18"/>
    </row>
    <row r="451" spans="1:10" ht="15.75" customHeight="1">
      <c r="A451" s="52">
        <v>439</v>
      </c>
      <c r="B451" s="30" t="s">
        <v>151</v>
      </c>
      <c r="C451" s="29">
        <v>1982</v>
      </c>
      <c r="D451" s="44">
        <v>2</v>
      </c>
      <c r="E451" s="16">
        <v>45.1</v>
      </c>
      <c r="F451" s="17">
        <v>0.03533651962704693</v>
      </c>
      <c r="G451" s="16">
        <f>2108398.24/1276.3*E451</f>
        <v>74503.45578939121</v>
      </c>
      <c r="H451" s="16">
        <f>506431.73/1276.3*E451+G451*1%</f>
        <v>18640.569324798245</v>
      </c>
      <c r="I451" s="16">
        <f t="shared" si="70"/>
        <v>55862.88646459297</v>
      </c>
      <c r="J451" s="18"/>
    </row>
    <row r="452" spans="1:10" ht="15.75" customHeight="1">
      <c r="A452" s="52">
        <v>440</v>
      </c>
      <c r="B452" s="30" t="s">
        <v>151</v>
      </c>
      <c r="C452" s="29">
        <v>1982</v>
      </c>
      <c r="D452" s="44">
        <v>26</v>
      </c>
      <c r="E452" s="16">
        <v>43.5</v>
      </c>
      <c r="F452" s="17">
        <v>0.0341</v>
      </c>
      <c r="G452" s="16">
        <v>71860.32</v>
      </c>
      <c r="H452" s="16">
        <f>506431.73/1276.3*E452+G452*1%</f>
        <v>17979.26311929797</v>
      </c>
      <c r="I452" s="16">
        <v>54599.66</v>
      </c>
      <c r="J452" s="18"/>
    </row>
    <row r="453" spans="1:10" ht="15.75" customHeight="1">
      <c r="A453" s="52">
        <v>441</v>
      </c>
      <c r="B453" s="30" t="s">
        <v>210</v>
      </c>
      <c r="C453" s="29">
        <v>2011</v>
      </c>
      <c r="D453" s="44">
        <v>10</v>
      </c>
      <c r="E453" s="16">
        <v>49.4</v>
      </c>
      <c r="F453" s="17">
        <v>0.011</v>
      </c>
      <c r="G453" s="16">
        <v>2354049.31</v>
      </c>
      <c r="H453" s="16">
        <v>384576.04</v>
      </c>
      <c r="I453" s="16">
        <v>1969473.27</v>
      </c>
      <c r="J453" s="18"/>
    </row>
    <row r="454" spans="1:10" ht="15.75" customHeight="1">
      <c r="A454" s="52">
        <v>442</v>
      </c>
      <c r="B454" s="30" t="s">
        <v>210</v>
      </c>
      <c r="C454" s="29">
        <v>2011</v>
      </c>
      <c r="D454" s="44">
        <v>15</v>
      </c>
      <c r="E454" s="16">
        <v>40.3</v>
      </c>
      <c r="F454" s="17">
        <v>0.0087</v>
      </c>
      <c r="G454" s="16">
        <v>1920408.65</v>
      </c>
      <c r="H454" s="16">
        <v>313733.08</v>
      </c>
      <c r="I454" s="16">
        <v>1606675.57</v>
      </c>
      <c r="J454" s="18"/>
    </row>
    <row r="455" spans="1:10" ht="15.75" customHeight="1">
      <c r="A455" s="52">
        <v>443</v>
      </c>
      <c r="B455" s="30" t="s">
        <v>210</v>
      </c>
      <c r="C455" s="29">
        <v>2011</v>
      </c>
      <c r="D455" s="44">
        <v>21</v>
      </c>
      <c r="E455" s="16">
        <v>40.9</v>
      </c>
      <c r="F455" s="17">
        <v>0.0089</v>
      </c>
      <c r="G455" s="16">
        <v>1949000.34</v>
      </c>
      <c r="H455" s="16">
        <v>318404.05</v>
      </c>
      <c r="I455" s="16">
        <v>1630596.29</v>
      </c>
      <c r="J455" s="18"/>
    </row>
    <row r="456" spans="1:10" ht="15.75" customHeight="1">
      <c r="A456" s="52">
        <v>444</v>
      </c>
      <c r="B456" s="30" t="s">
        <v>210</v>
      </c>
      <c r="C456" s="29">
        <v>2011</v>
      </c>
      <c r="D456" s="44">
        <v>22</v>
      </c>
      <c r="E456" s="16">
        <v>48.7</v>
      </c>
      <c r="F456" s="17">
        <v>0.01</v>
      </c>
      <c r="G456" s="16">
        <v>2320692.33</v>
      </c>
      <c r="H456" s="16">
        <v>379126.58</v>
      </c>
      <c r="I456" s="16">
        <v>1941565.75</v>
      </c>
      <c r="J456" s="18"/>
    </row>
    <row r="457" spans="1:10" ht="15.75" customHeight="1">
      <c r="A457" s="52">
        <v>445</v>
      </c>
      <c r="B457" s="30" t="s">
        <v>210</v>
      </c>
      <c r="C457" s="29">
        <v>2011</v>
      </c>
      <c r="D457" s="44">
        <v>26</v>
      </c>
      <c r="E457" s="16">
        <v>49.3</v>
      </c>
      <c r="F457" s="17">
        <v>0.011</v>
      </c>
      <c r="G457" s="16">
        <v>2349284.03</v>
      </c>
      <c r="H457" s="16">
        <v>383797.54</v>
      </c>
      <c r="I457" s="16">
        <v>1965486.49</v>
      </c>
      <c r="J457" s="18"/>
    </row>
    <row r="458" spans="1:10" ht="15.75" customHeight="1">
      <c r="A458" s="52">
        <v>446</v>
      </c>
      <c r="B458" s="30" t="s">
        <v>210</v>
      </c>
      <c r="C458" s="29">
        <v>2011</v>
      </c>
      <c r="D458" s="44">
        <v>29</v>
      </c>
      <c r="E458" s="16">
        <v>41.1</v>
      </c>
      <c r="F458" s="17">
        <v>0.0089</v>
      </c>
      <c r="G458" s="16">
        <v>1958530.9</v>
      </c>
      <c r="H458" s="16">
        <v>319961.03</v>
      </c>
      <c r="I458" s="16">
        <v>1638569.87</v>
      </c>
      <c r="J458" s="18"/>
    </row>
    <row r="459" spans="1:10" ht="15.75" customHeight="1">
      <c r="A459" s="52">
        <v>447</v>
      </c>
      <c r="B459" s="30" t="s">
        <v>210</v>
      </c>
      <c r="C459" s="29">
        <v>2011</v>
      </c>
      <c r="D459" s="44">
        <v>34</v>
      </c>
      <c r="E459" s="16">
        <v>48.9</v>
      </c>
      <c r="F459" s="17">
        <v>0.011</v>
      </c>
      <c r="G459" s="16">
        <v>2330222.9</v>
      </c>
      <c r="H459" s="16">
        <v>380683.57</v>
      </c>
      <c r="I459" s="16">
        <v>1949539.33</v>
      </c>
      <c r="J459" s="18"/>
    </row>
    <row r="460" spans="1:10" ht="15.75" customHeight="1">
      <c r="A460" s="52">
        <v>448</v>
      </c>
      <c r="B460" s="30" t="s">
        <v>210</v>
      </c>
      <c r="C460" s="29">
        <v>2011</v>
      </c>
      <c r="D460" s="44">
        <v>35</v>
      </c>
      <c r="E460" s="16">
        <v>39.9</v>
      </c>
      <c r="F460" s="17">
        <v>0.0086</v>
      </c>
      <c r="G460" s="16">
        <v>1901347.52</v>
      </c>
      <c r="H460" s="16">
        <v>310619.11</v>
      </c>
      <c r="I460" s="16">
        <v>1590728.41</v>
      </c>
      <c r="J460" s="18"/>
    </row>
    <row r="461" spans="1:10" ht="15.75" customHeight="1">
      <c r="A461" s="52">
        <v>449</v>
      </c>
      <c r="B461" s="30" t="s">
        <v>210</v>
      </c>
      <c r="C461" s="29">
        <v>2011</v>
      </c>
      <c r="D461" s="44">
        <v>44</v>
      </c>
      <c r="E461" s="16">
        <v>49.1</v>
      </c>
      <c r="F461" s="17">
        <v>0.011</v>
      </c>
      <c r="G461" s="16">
        <v>2339753.46</v>
      </c>
      <c r="H461" s="16">
        <v>382240.55</v>
      </c>
      <c r="I461" s="16">
        <v>1957512.91</v>
      </c>
      <c r="J461" s="18"/>
    </row>
    <row r="462" spans="1:10" ht="15.75" customHeight="1">
      <c r="A462" s="52">
        <v>450</v>
      </c>
      <c r="B462" s="30" t="s">
        <v>210</v>
      </c>
      <c r="C462" s="29">
        <v>2011</v>
      </c>
      <c r="D462" s="44">
        <v>50</v>
      </c>
      <c r="E462" s="16">
        <v>38.3</v>
      </c>
      <c r="F462" s="17">
        <v>0.0083</v>
      </c>
      <c r="G462" s="16">
        <v>1825103</v>
      </c>
      <c r="H462" s="16">
        <v>298163.2</v>
      </c>
      <c r="I462" s="16">
        <v>1526939.8</v>
      </c>
      <c r="J462" s="18"/>
    </row>
    <row r="463" spans="1:10" ht="15.75" customHeight="1">
      <c r="A463" s="52">
        <v>451</v>
      </c>
      <c r="B463" s="30" t="s">
        <v>210</v>
      </c>
      <c r="C463" s="29">
        <v>2011</v>
      </c>
      <c r="D463" s="44">
        <v>52</v>
      </c>
      <c r="E463" s="16">
        <v>41.1</v>
      </c>
      <c r="F463" s="17">
        <v>0.0089</v>
      </c>
      <c r="G463" s="16">
        <v>1958530.9</v>
      </c>
      <c r="H463" s="16">
        <v>319961.03</v>
      </c>
      <c r="I463" s="16">
        <v>1638569.87</v>
      </c>
      <c r="J463" s="18"/>
    </row>
    <row r="464" spans="1:10" ht="15.75" customHeight="1">
      <c r="A464" s="52">
        <v>452</v>
      </c>
      <c r="B464" s="30" t="s">
        <v>210</v>
      </c>
      <c r="C464" s="29">
        <v>2011</v>
      </c>
      <c r="D464" s="44">
        <v>65</v>
      </c>
      <c r="E464" s="16">
        <v>39</v>
      </c>
      <c r="F464" s="17">
        <v>0.0084</v>
      </c>
      <c r="G464" s="16">
        <v>1858459.98</v>
      </c>
      <c r="H464" s="16">
        <v>303612.66</v>
      </c>
      <c r="I464" s="16">
        <v>1554847.32</v>
      </c>
      <c r="J464" s="18"/>
    </row>
    <row r="465" spans="1:10" ht="15.75" customHeight="1">
      <c r="A465" s="52">
        <v>453</v>
      </c>
      <c r="B465" s="30" t="s">
        <v>210</v>
      </c>
      <c r="C465" s="29">
        <v>2011</v>
      </c>
      <c r="D465" s="44">
        <v>67</v>
      </c>
      <c r="E465" s="16">
        <v>49</v>
      </c>
      <c r="F465" s="17">
        <v>0.011</v>
      </c>
      <c r="G465" s="16">
        <v>2334988.18</v>
      </c>
      <c r="H465" s="16">
        <v>381462.06</v>
      </c>
      <c r="I465" s="16">
        <v>1953526.12</v>
      </c>
      <c r="J465" s="18"/>
    </row>
    <row r="466" spans="1:10" ht="15.75" customHeight="1">
      <c r="A466" s="52">
        <v>454</v>
      </c>
      <c r="B466" s="30" t="s">
        <v>210</v>
      </c>
      <c r="C466" s="29">
        <v>2011</v>
      </c>
      <c r="D466" s="44">
        <v>76</v>
      </c>
      <c r="E466" s="16">
        <v>41</v>
      </c>
      <c r="F466" s="17">
        <v>0.0088</v>
      </c>
      <c r="G466" s="16">
        <v>1953769.58</v>
      </c>
      <c r="H466" s="16">
        <v>319187.69</v>
      </c>
      <c r="I466" s="16">
        <v>1634581.89</v>
      </c>
      <c r="J466" s="18"/>
    </row>
    <row r="467" spans="1:10" ht="15.75" customHeight="1">
      <c r="A467" s="52">
        <v>455</v>
      </c>
      <c r="B467" s="30" t="s">
        <v>152</v>
      </c>
      <c r="C467" s="29">
        <v>1984</v>
      </c>
      <c r="D467" s="44">
        <v>2</v>
      </c>
      <c r="E467" s="16">
        <v>44</v>
      </c>
      <c r="F467" s="17">
        <v>0.03420929870937646</v>
      </c>
      <c r="G467" s="16">
        <f>2300090/1286.2*E467</f>
        <v>78684.4658684497</v>
      </c>
      <c r="H467" s="16">
        <f>521427.48/1286.2*E467+G467*1%</f>
        <v>18624.513077281918</v>
      </c>
      <c r="I467" s="16">
        <f>G467-H467</f>
        <v>60059.95279116778</v>
      </c>
      <c r="J467" s="18"/>
    </row>
    <row r="468" spans="1:10" ht="15.75" customHeight="1">
      <c r="A468" s="52">
        <v>456</v>
      </c>
      <c r="B468" s="30" t="s">
        <v>152</v>
      </c>
      <c r="C468" s="29">
        <v>1984</v>
      </c>
      <c r="D468" s="44">
        <v>5</v>
      </c>
      <c r="E468" s="16">
        <v>45.3</v>
      </c>
      <c r="F468" s="17">
        <v>0.035220027989426216</v>
      </c>
      <c r="G468" s="16">
        <f>2300090/1286.2*E468</f>
        <v>81009.23417819935</v>
      </c>
      <c r="H468" s="16">
        <f>521427.48/1286.2*E468+G468*1%</f>
        <v>19174.78278183797</v>
      </c>
      <c r="I468" s="16">
        <f>G468-H468</f>
        <v>61834.45139636137</v>
      </c>
      <c r="J468" s="18"/>
    </row>
    <row r="469" spans="1:10" ht="15.75" customHeight="1">
      <c r="A469" s="52">
        <v>457</v>
      </c>
      <c r="B469" s="30" t="s">
        <v>153</v>
      </c>
      <c r="C469" s="29">
        <v>1986</v>
      </c>
      <c r="D469" s="44">
        <v>4</v>
      </c>
      <c r="E469" s="16">
        <v>42.4</v>
      </c>
      <c r="F469" s="17">
        <f>1/1214.7*E469</f>
        <v>0.03490573804231497</v>
      </c>
      <c r="G469" s="16">
        <f>3142574/1214.7*E469</f>
        <v>109693.86482258992</v>
      </c>
      <c r="H469" s="16">
        <f>576663.21/1214.7*E469+G469*1%</f>
        <v>21225.793595126368</v>
      </c>
      <c r="I469" s="16">
        <f>G469-H469</f>
        <v>88468.07122746356</v>
      </c>
      <c r="J469" s="18"/>
    </row>
    <row r="470" spans="1:10" ht="15.75" customHeight="1">
      <c r="A470" s="52">
        <v>458</v>
      </c>
      <c r="B470" s="30" t="s">
        <v>153</v>
      </c>
      <c r="C470" s="29">
        <v>1986</v>
      </c>
      <c r="D470" s="44">
        <v>20</v>
      </c>
      <c r="E470" s="16">
        <v>42.3</v>
      </c>
      <c r="F470" s="17">
        <f>1/1214.7*E470</f>
        <v>0.034823413188441586</v>
      </c>
      <c r="G470" s="16">
        <f>3142574/1214.7*E470</f>
        <v>109435.15287725363</v>
      </c>
      <c r="H470" s="16">
        <f>576663.21/1214.7*E470+G470*1%</f>
        <v>21175.732761175594</v>
      </c>
      <c r="I470" s="16">
        <f>G470-H470</f>
        <v>88259.42011607804</v>
      </c>
      <c r="J470" s="18"/>
    </row>
    <row r="471" spans="1:10" ht="15.75" customHeight="1">
      <c r="A471" s="52">
        <v>459</v>
      </c>
      <c r="B471" s="30" t="s">
        <v>153</v>
      </c>
      <c r="C471" s="29">
        <v>1986</v>
      </c>
      <c r="D471" s="44">
        <v>25</v>
      </c>
      <c r="E471" s="16">
        <v>49</v>
      </c>
      <c r="F471" s="17">
        <f>1/1214.7*E471</f>
        <v>0.04033917839795834</v>
      </c>
      <c r="G471" s="16">
        <f>3142574/1214.7*E471</f>
        <v>126768.85321478553</v>
      </c>
      <c r="H471" s="16">
        <f>576663.21/1214.7*E471+G471*1%</f>
        <v>24529.80863587717</v>
      </c>
      <c r="I471" s="16">
        <f>G471-H471</f>
        <v>102239.04457890836</v>
      </c>
      <c r="J471" s="18"/>
    </row>
    <row r="472" spans="1:10" ht="15.75" customHeight="1">
      <c r="A472" s="52">
        <v>460</v>
      </c>
      <c r="B472" s="30" t="s">
        <v>154</v>
      </c>
      <c r="C472" s="29">
        <v>1987</v>
      </c>
      <c r="D472" s="44">
        <v>4</v>
      </c>
      <c r="E472" s="16">
        <v>78.8</v>
      </c>
      <c r="F472" s="17">
        <v>0.05087153001936733</v>
      </c>
      <c r="G472" s="16">
        <f>1604124.59/1549*E472</f>
        <v>81604.2722349903</v>
      </c>
      <c r="H472" s="16">
        <f>322161.7/1549*E472+G472*1%</f>
        <v>17204.901314990315</v>
      </c>
      <c r="I472" s="16">
        <f aca="true" t="shared" si="71" ref="I472:I493">G472-H472</f>
        <v>64399.37091999999</v>
      </c>
      <c r="J472" s="18"/>
    </row>
    <row r="473" spans="1:10" ht="15.75" customHeight="1">
      <c r="A473" s="52">
        <v>461</v>
      </c>
      <c r="B473" s="30" t="s">
        <v>154</v>
      </c>
      <c r="C473" s="29">
        <v>1987</v>
      </c>
      <c r="D473" s="44">
        <v>11</v>
      </c>
      <c r="E473" s="16">
        <v>50.9</v>
      </c>
      <c r="F473" s="17">
        <v>0.032859909619109104</v>
      </c>
      <c r="G473" s="16">
        <f>1604124.59/1549*E473</f>
        <v>52711.389045190444</v>
      </c>
      <c r="H473" s="16">
        <f>322161.7/1549*E473+G473*1%</f>
        <v>11113.318235190445</v>
      </c>
      <c r="I473" s="16">
        <f t="shared" si="71"/>
        <v>41598.07081</v>
      </c>
      <c r="J473" s="18"/>
    </row>
    <row r="474" spans="1:10" ht="15.75" customHeight="1">
      <c r="A474" s="52">
        <v>462</v>
      </c>
      <c r="B474" s="30" t="s">
        <v>155</v>
      </c>
      <c r="C474" s="29">
        <v>1975</v>
      </c>
      <c r="D474" s="44">
        <v>4</v>
      </c>
      <c r="E474" s="16">
        <v>43.1</v>
      </c>
      <c r="F474" s="17">
        <v>0.05928473177441541</v>
      </c>
      <c r="G474" s="16">
        <f>980/727*E474</f>
        <v>58.0990371389271</v>
      </c>
      <c r="H474" s="16">
        <f>321.27/727*E474</f>
        <v>19.046405777166434</v>
      </c>
      <c r="I474" s="16">
        <f t="shared" si="71"/>
        <v>39.05263136176067</v>
      </c>
      <c r="J474" s="18"/>
    </row>
    <row r="475" spans="1:10" ht="15.75" customHeight="1">
      <c r="A475" s="52">
        <v>463</v>
      </c>
      <c r="B475" s="30" t="s">
        <v>156</v>
      </c>
      <c r="C475" s="29">
        <v>1993</v>
      </c>
      <c r="D475" s="44">
        <v>2</v>
      </c>
      <c r="E475" s="16">
        <v>45.1</v>
      </c>
      <c r="F475" s="17">
        <v>0.03517117679170241</v>
      </c>
      <c r="G475" s="16">
        <f>3069293.5/1282.3*E475</f>
        <v>107950.66431412306</v>
      </c>
      <c r="H475" s="16">
        <f>450738.44/1282.3*E475+G475*1%</f>
        <v>16932.508003197378</v>
      </c>
      <c r="I475" s="16">
        <f t="shared" si="71"/>
        <v>91018.15631092568</v>
      </c>
      <c r="J475" s="18"/>
    </row>
    <row r="476" spans="1:10" ht="15.75" customHeight="1">
      <c r="A476" s="52">
        <v>464</v>
      </c>
      <c r="B476" s="30" t="s">
        <v>157</v>
      </c>
      <c r="C476" s="29">
        <v>1987</v>
      </c>
      <c r="D476" s="45" t="s">
        <v>158</v>
      </c>
      <c r="E476" s="16">
        <v>25.7</v>
      </c>
      <c r="F476" s="17">
        <v>0.016209397666351308</v>
      </c>
      <c r="G476" s="16">
        <f>1923911/1585.5*E476</f>
        <v>31185.43847366761</v>
      </c>
      <c r="H476" s="16">
        <f>392784.32/1585.5*E476+G476*1%</f>
        <v>6678.651624724062</v>
      </c>
      <c r="I476" s="16">
        <f t="shared" si="71"/>
        <v>24506.78684894355</v>
      </c>
      <c r="J476" s="18"/>
    </row>
    <row r="477" spans="1:10" ht="15.75" customHeight="1">
      <c r="A477" s="52">
        <v>465</v>
      </c>
      <c r="B477" s="30" t="s">
        <v>157</v>
      </c>
      <c r="C477" s="29">
        <v>1987</v>
      </c>
      <c r="D477" s="45" t="s">
        <v>159</v>
      </c>
      <c r="E477" s="16">
        <v>16.5</v>
      </c>
      <c r="F477" s="17">
        <v>0.010406811731315043</v>
      </c>
      <c r="G477" s="16">
        <f>1923911/1585.5*E477</f>
        <v>20021.779564806053</v>
      </c>
      <c r="H477" s="16">
        <f>392784.32/1585.5*E477+G477*1%</f>
        <v>4287.850264900662</v>
      </c>
      <c r="I477" s="16">
        <f t="shared" si="71"/>
        <v>15733.92929990539</v>
      </c>
      <c r="J477" s="18"/>
    </row>
    <row r="478" spans="1:10" ht="15.75" customHeight="1">
      <c r="A478" s="52">
        <v>466</v>
      </c>
      <c r="B478" s="30" t="s">
        <v>157</v>
      </c>
      <c r="C478" s="29">
        <v>1987</v>
      </c>
      <c r="D478" s="45" t="s">
        <v>160</v>
      </c>
      <c r="E478" s="16">
        <v>33</v>
      </c>
      <c r="F478" s="17">
        <v>0.020813623462630087</v>
      </c>
      <c r="G478" s="16">
        <f>1923911/1585.5*E478</f>
        <v>40043.559129612106</v>
      </c>
      <c r="H478" s="16">
        <f>392784.32/1585.5*E478+G478*1%</f>
        <v>8575.700529801325</v>
      </c>
      <c r="I478" s="16">
        <f t="shared" si="71"/>
        <v>31467.85859981078</v>
      </c>
      <c r="J478" s="18"/>
    </row>
    <row r="479" spans="1:10" ht="15.75" customHeight="1">
      <c r="A479" s="52">
        <v>467</v>
      </c>
      <c r="B479" s="30" t="s">
        <v>161</v>
      </c>
      <c r="C479" s="29">
        <v>2004</v>
      </c>
      <c r="D479" s="44">
        <v>11</v>
      </c>
      <c r="E479" s="16">
        <v>50.7</v>
      </c>
      <c r="F479" s="17">
        <v>0.03279218679257487</v>
      </c>
      <c r="G479" s="16">
        <f>10266288/1546.1*E479</f>
        <v>336654.0337623699</v>
      </c>
      <c r="H479" s="16">
        <f>367875.32/1546.1*E479+G479*1%</f>
        <v>15429.976547441953</v>
      </c>
      <c r="I479" s="16">
        <f t="shared" si="71"/>
        <v>321224.0572149279</v>
      </c>
      <c r="J479" s="18"/>
    </row>
    <row r="480" spans="1:10" ht="15.75" customHeight="1">
      <c r="A480" s="52">
        <v>468</v>
      </c>
      <c r="B480" s="30" t="s">
        <v>161</v>
      </c>
      <c r="C480" s="29">
        <v>2004</v>
      </c>
      <c r="D480" s="44">
        <v>15</v>
      </c>
      <c r="E480" s="16">
        <v>67.9</v>
      </c>
      <c r="F480" s="17">
        <v>0.04391695233167325</v>
      </c>
      <c r="G480" s="16">
        <f>10266288/1546.1*E480</f>
        <v>450864.0807192291</v>
      </c>
      <c r="H480" s="16">
        <f>367875.32/1546.1*E480+G480*1%</f>
        <v>20664.603699631334</v>
      </c>
      <c r="I480" s="16">
        <f t="shared" si="71"/>
        <v>430199.4770195978</v>
      </c>
      <c r="J480" s="18"/>
    </row>
    <row r="481" spans="1:10" ht="15.75" customHeight="1">
      <c r="A481" s="52">
        <v>469</v>
      </c>
      <c r="B481" s="30" t="s">
        <v>161</v>
      </c>
      <c r="C481" s="29">
        <v>2004</v>
      </c>
      <c r="D481" s="44">
        <v>20</v>
      </c>
      <c r="E481" s="16">
        <v>51.2</v>
      </c>
      <c r="F481" s="17">
        <v>0.033115581139641685</v>
      </c>
      <c r="G481" s="16">
        <f>10266288/1546.1*E481</f>
        <v>339974.09326692973</v>
      </c>
      <c r="H481" s="16">
        <f>367875.32/1546.1*E481+G481*1%</f>
        <v>15582.145941400948</v>
      </c>
      <c r="I481" s="16">
        <f t="shared" si="71"/>
        <v>324391.9473255288</v>
      </c>
      <c r="J481" s="18"/>
    </row>
    <row r="482" spans="1:10" ht="15.75" customHeight="1">
      <c r="A482" s="52">
        <v>470</v>
      </c>
      <c r="B482" s="30" t="s">
        <v>161</v>
      </c>
      <c r="C482" s="29">
        <v>2004</v>
      </c>
      <c r="D482" s="44">
        <v>25</v>
      </c>
      <c r="E482" s="16">
        <v>52.9</v>
      </c>
      <c r="F482" s="17">
        <v>0.03421512191966884</v>
      </c>
      <c r="G482" s="16">
        <f>10266288/1546.1*E482</f>
        <v>351262.29558243323</v>
      </c>
      <c r="H482" s="16">
        <f>367875.32/1546.1*E482+G482*1%</f>
        <v>16099.521880861523</v>
      </c>
      <c r="I482" s="16">
        <f t="shared" si="71"/>
        <v>335162.7737015717</v>
      </c>
      <c r="J482" s="18"/>
    </row>
    <row r="483" spans="1:10" ht="15.75" customHeight="1">
      <c r="A483" s="52">
        <v>471</v>
      </c>
      <c r="B483" s="50" t="s">
        <v>109</v>
      </c>
      <c r="C483" s="29">
        <v>1988</v>
      </c>
      <c r="D483" s="44">
        <v>22</v>
      </c>
      <c r="E483" s="16">
        <v>53.5</v>
      </c>
      <c r="F483" s="19">
        <v>0.03514188124014713</v>
      </c>
      <c r="G483" s="16">
        <f>2329337.99/1522.4*E483</f>
        <v>81857.31901274304</v>
      </c>
      <c r="H483" s="16">
        <f>567808.38/1522.4*E483+G483*1%</f>
        <v>20772.427847247767</v>
      </c>
      <c r="I483" s="16">
        <f t="shared" si="71"/>
        <v>61084.891165495275</v>
      </c>
      <c r="J483" s="18"/>
    </row>
    <row r="484" spans="1:10" ht="15.75" customHeight="1">
      <c r="A484" s="52">
        <v>472</v>
      </c>
      <c r="B484" s="30" t="s">
        <v>110</v>
      </c>
      <c r="C484" s="29">
        <v>1998</v>
      </c>
      <c r="D484" s="40">
        <v>1</v>
      </c>
      <c r="E484" s="16">
        <v>79.5</v>
      </c>
      <c r="F484" s="19">
        <v>0.012178681944912527</v>
      </c>
      <c r="G484" s="16">
        <f aca="true" t="shared" si="72" ref="G484:G492">4269353/6527.8*E484</f>
        <v>51995.092297558134</v>
      </c>
      <c r="H484" s="16">
        <f>252718.74/6527.8*E484+G484*1%</f>
        <v>3597.7320789546247</v>
      </c>
      <c r="I484" s="16">
        <f t="shared" si="71"/>
        <v>48397.36021860351</v>
      </c>
      <c r="J484" s="18"/>
    </row>
    <row r="485" spans="1:10" ht="15.75" customHeight="1">
      <c r="A485" s="52">
        <v>473</v>
      </c>
      <c r="B485" s="30" t="s">
        <v>110</v>
      </c>
      <c r="C485" s="29">
        <v>1998</v>
      </c>
      <c r="D485" s="40">
        <v>44</v>
      </c>
      <c r="E485" s="16">
        <v>57.5</v>
      </c>
      <c r="F485" s="19">
        <v>0.00880848065198076</v>
      </c>
      <c r="G485" s="16">
        <f t="shared" si="72"/>
        <v>37606.51329697601</v>
      </c>
      <c r="H485" s="16">
        <f aca="true" t="shared" si="73" ref="H485:H491">252718.74/6527.8*E485+G485*1%</f>
        <v>2602.133264652716</v>
      </c>
      <c r="I485" s="16">
        <f t="shared" si="71"/>
        <v>35004.38003232329</v>
      </c>
      <c r="J485" s="18"/>
    </row>
    <row r="486" spans="1:10" ht="15.75" customHeight="1">
      <c r="A486" s="52">
        <v>474</v>
      </c>
      <c r="B486" s="30" t="s">
        <v>110</v>
      </c>
      <c r="C486" s="29">
        <v>1998</v>
      </c>
      <c r="D486" s="40">
        <v>56</v>
      </c>
      <c r="E486" s="16">
        <v>57.9</v>
      </c>
      <c r="F486" s="19">
        <v>0.008869757039124973</v>
      </c>
      <c r="G486" s="16">
        <f t="shared" si="72"/>
        <v>37868.12382425932</v>
      </c>
      <c r="H486" s="16">
        <f t="shared" si="73"/>
        <v>2620.235061276387</v>
      </c>
      <c r="I486" s="16">
        <f t="shared" si="71"/>
        <v>35247.88876298293</v>
      </c>
      <c r="J486" s="18"/>
    </row>
    <row r="487" spans="1:10" ht="15.75" customHeight="1">
      <c r="A487" s="52">
        <v>475</v>
      </c>
      <c r="B487" s="30" t="s">
        <v>110</v>
      </c>
      <c r="C487" s="29">
        <v>1998</v>
      </c>
      <c r="D487" s="40">
        <v>66</v>
      </c>
      <c r="E487" s="16">
        <v>58.8</v>
      </c>
      <c r="F487" s="19">
        <v>0.009007628910199454</v>
      </c>
      <c r="G487" s="16">
        <f t="shared" si="72"/>
        <v>38456.74751064677</v>
      </c>
      <c r="H487" s="16">
        <f t="shared" si="73"/>
        <v>2660.9641036796465</v>
      </c>
      <c r="I487" s="16">
        <f t="shared" si="71"/>
        <v>35795.78340696712</v>
      </c>
      <c r="J487" s="18"/>
    </row>
    <row r="488" spans="1:10" ht="15.75" customHeight="1">
      <c r="A488" s="52">
        <v>476</v>
      </c>
      <c r="B488" s="30" t="s">
        <v>110</v>
      </c>
      <c r="C488" s="29">
        <v>1998</v>
      </c>
      <c r="D488" s="40">
        <v>76</v>
      </c>
      <c r="E488" s="16">
        <v>57.2</v>
      </c>
      <c r="F488" s="19">
        <v>0.0087625233616226</v>
      </c>
      <c r="G488" s="16">
        <f t="shared" si="72"/>
        <v>37410.30540151353</v>
      </c>
      <c r="H488" s="16">
        <f t="shared" si="73"/>
        <v>2588.556917184963</v>
      </c>
      <c r="I488" s="16">
        <f t="shared" si="71"/>
        <v>34821.748484328564</v>
      </c>
      <c r="J488" s="18"/>
    </row>
    <row r="489" spans="1:10" ht="15.75" customHeight="1">
      <c r="A489" s="52">
        <v>477</v>
      </c>
      <c r="B489" s="30" t="s">
        <v>110</v>
      </c>
      <c r="C489" s="29">
        <v>1998</v>
      </c>
      <c r="D489" s="40">
        <v>95</v>
      </c>
      <c r="E489" s="16">
        <v>57.1</v>
      </c>
      <c r="F489" s="19">
        <v>0.008747204264836545</v>
      </c>
      <c r="G489" s="16">
        <f t="shared" si="72"/>
        <v>37344.9027696927</v>
      </c>
      <c r="H489" s="16">
        <f t="shared" si="73"/>
        <v>2584.031468029045</v>
      </c>
      <c r="I489" s="16">
        <f t="shared" si="71"/>
        <v>34760.871301663654</v>
      </c>
      <c r="J489" s="18"/>
    </row>
    <row r="490" spans="1:10" ht="15.75" customHeight="1">
      <c r="A490" s="53">
        <v>478</v>
      </c>
      <c r="B490" s="54" t="s">
        <v>110</v>
      </c>
      <c r="C490" s="55">
        <v>1998</v>
      </c>
      <c r="D490" s="41">
        <v>101</v>
      </c>
      <c r="E490" s="23">
        <v>47.7</v>
      </c>
      <c r="F490" s="34">
        <v>0.007307209166947517</v>
      </c>
      <c r="G490" s="23">
        <f t="shared" si="72"/>
        <v>31197.055378534882</v>
      </c>
      <c r="H490" s="23">
        <f t="shared" si="73"/>
        <v>2158.639247372775</v>
      </c>
      <c r="I490" s="23">
        <f t="shared" si="71"/>
        <v>29038.416131162106</v>
      </c>
      <c r="J490" s="28"/>
    </row>
    <row r="491" spans="1:10" ht="15.75" customHeight="1">
      <c r="A491" s="52">
        <v>479</v>
      </c>
      <c r="B491" s="30" t="s">
        <v>110</v>
      </c>
      <c r="C491" s="29">
        <v>1998</v>
      </c>
      <c r="D491" s="33">
        <v>117</v>
      </c>
      <c r="E491" s="26">
        <v>60.7</v>
      </c>
      <c r="F491" s="56">
        <v>0.009298691749134471</v>
      </c>
      <c r="G491" s="26">
        <f t="shared" si="72"/>
        <v>39699.397515242505</v>
      </c>
      <c r="H491" s="26">
        <f t="shared" si="73"/>
        <v>2746.9476376420844</v>
      </c>
      <c r="I491" s="26">
        <f t="shared" si="71"/>
        <v>36952.44987760042</v>
      </c>
      <c r="J491" s="31"/>
    </row>
    <row r="492" spans="1:10" ht="15.75" customHeight="1">
      <c r="A492" s="52">
        <v>480</v>
      </c>
      <c r="B492" s="30" t="s">
        <v>110</v>
      </c>
      <c r="C492" s="29">
        <v>1998</v>
      </c>
      <c r="D492" s="33">
        <v>120</v>
      </c>
      <c r="E492" s="26">
        <v>80.6</v>
      </c>
      <c r="F492" s="56">
        <v>0.0123</v>
      </c>
      <c r="G492" s="26">
        <f t="shared" si="72"/>
        <v>52714.52124758724</v>
      </c>
      <c r="H492" s="26">
        <f>252718.74/6527.8*E492+G492*1%</f>
        <v>3647.51201966972</v>
      </c>
      <c r="I492" s="26">
        <f>G492-H492</f>
        <v>49067.00922791752</v>
      </c>
      <c r="J492" s="31"/>
    </row>
    <row r="493" spans="1:10" ht="15.75" customHeight="1">
      <c r="A493" s="49"/>
      <c r="B493" s="32" t="s">
        <v>180</v>
      </c>
      <c r="C493" s="31"/>
      <c r="D493" s="25"/>
      <c r="E493" s="25">
        <v>18150.9</v>
      </c>
      <c r="F493" s="25"/>
      <c r="G493" s="26">
        <v>71538381.63</v>
      </c>
      <c r="H493" s="26">
        <v>15691615.53</v>
      </c>
      <c r="I493" s="26">
        <f t="shared" si="71"/>
        <v>55846766.099999994</v>
      </c>
      <c r="J493" s="31"/>
    </row>
    <row r="494" spans="1:9" ht="15.75" customHeight="1">
      <c r="A494"/>
      <c r="G494" s="8"/>
      <c r="H494" s="8"/>
      <c r="I494" s="8"/>
    </row>
    <row r="495" spans="1:9" ht="15.75" customHeight="1">
      <c r="A495"/>
      <c r="G495" s="8"/>
      <c r="H495" s="8"/>
      <c r="I495" s="8"/>
    </row>
    <row r="496" spans="1:9" ht="15.75" customHeight="1">
      <c r="A496"/>
      <c r="G496" s="8"/>
      <c r="H496" s="8"/>
      <c r="I496" s="8"/>
    </row>
    <row r="497" spans="1:9" ht="15.75" customHeight="1">
      <c r="A497"/>
      <c r="G497" s="8"/>
      <c r="H497" s="8"/>
      <c r="I497" s="8"/>
    </row>
    <row r="498" spans="1:9" ht="15.75" customHeight="1">
      <c r="A498"/>
      <c r="G498" s="8"/>
      <c r="H498" s="8"/>
      <c r="I498" s="8"/>
    </row>
    <row r="499" spans="1:9" ht="15.75" customHeight="1">
      <c r="A499"/>
      <c r="G499" s="8"/>
      <c r="H499" s="8"/>
      <c r="I499" s="8"/>
    </row>
    <row r="500" spans="1:9" ht="15.75" customHeight="1">
      <c r="A500"/>
      <c r="G500" s="8"/>
      <c r="H500" s="8"/>
      <c r="I500" s="8"/>
    </row>
    <row r="501" spans="1:9" ht="15.75" customHeight="1">
      <c r="A501"/>
      <c r="G501" s="8"/>
      <c r="H501" s="8"/>
      <c r="I501" s="8"/>
    </row>
    <row r="502" spans="1:9" ht="15.75" customHeight="1">
      <c r="A502"/>
      <c r="G502" s="8"/>
      <c r="H502" s="8"/>
      <c r="I502" s="8"/>
    </row>
    <row r="503" spans="1:9" ht="15.75" customHeight="1">
      <c r="A503"/>
      <c r="G503" s="8"/>
      <c r="H503" s="8"/>
      <c r="I503" s="8"/>
    </row>
    <row r="504" spans="1:9" ht="15.75" customHeight="1">
      <c r="A504"/>
      <c r="G504" s="8"/>
      <c r="H504" s="8"/>
      <c r="I504" s="8"/>
    </row>
    <row r="505" spans="1:9" ht="15.75" customHeight="1">
      <c r="A505"/>
      <c r="G505" s="8"/>
      <c r="H505" s="8"/>
      <c r="I505" s="8"/>
    </row>
    <row r="506" spans="1:9" ht="15.75" customHeight="1">
      <c r="A506"/>
      <c r="G506" s="8"/>
      <c r="H506" s="8"/>
      <c r="I506" s="8"/>
    </row>
    <row r="507" spans="1:9" ht="15.75" customHeight="1">
      <c r="A507"/>
      <c r="G507" s="8"/>
      <c r="H507" s="8"/>
      <c r="I507" s="8"/>
    </row>
    <row r="508" spans="1:9" ht="15.75" customHeight="1">
      <c r="A508"/>
      <c r="G508" s="8"/>
      <c r="H508" s="8"/>
      <c r="I508" s="8"/>
    </row>
    <row r="509" spans="1:9" ht="15.75" customHeight="1">
      <c r="A509"/>
      <c r="G509" s="8"/>
      <c r="H509" s="8"/>
      <c r="I509" s="8"/>
    </row>
    <row r="510" spans="1:9" ht="15.75" customHeight="1">
      <c r="A510"/>
      <c r="G510" s="8"/>
      <c r="H510" s="8"/>
      <c r="I510" s="8"/>
    </row>
    <row r="511" spans="1:9" ht="15.75" customHeight="1">
      <c r="A511"/>
      <c r="G511" s="8"/>
      <c r="H511" s="8"/>
      <c r="I511" s="8"/>
    </row>
    <row r="512" spans="1:9" ht="15.75" customHeight="1">
      <c r="A512"/>
      <c r="C512" s="4"/>
      <c r="G512" s="8"/>
      <c r="H512" s="8"/>
      <c r="I512" s="8"/>
    </row>
    <row r="513" spans="1:9" ht="15.75" customHeight="1">
      <c r="A513"/>
      <c r="C513" s="4"/>
      <c r="G513" s="8"/>
      <c r="H513" s="8"/>
      <c r="I513" s="8"/>
    </row>
    <row r="514" spans="1:9" ht="15.75" customHeight="1">
      <c r="A514"/>
      <c r="C514" s="4"/>
      <c r="G514" s="8"/>
      <c r="H514" s="8"/>
      <c r="I514" s="8"/>
    </row>
    <row r="515" spans="1:9" ht="15.75" customHeight="1">
      <c r="A515"/>
      <c r="C515" s="4"/>
      <c r="G515" s="8"/>
      <c r="H515" s="8"/>
      <c r="I515" s="8"/>
    </row>
    <row r="516" spans="1:9" ht="15.75" customHeight="1">
      <c r="A516"/>
      <c r="C516" s="4"/>
      <c r="G516" s="8"/>
      <c r="H516" s="8"/>
      <c r="I516" s="8"/>
    </row>
    <row r="517" spans="1:9" ht="15.75" customHeight="1">
      <c r="A517"/>
      <c r="C517" s="4"/>
      <c r="G517" s="8"/>
      <c r="H517" s="8"/>
      <c r="I517" s="8"/>
    </row>
    <row r="518" spans="1:9" ht="15.75" customHeight="1">
      <c r="A518"/>
      <c r="C518" s="4"/>
      <c r="G518" s="8"/>
      <c r="H518" s="8"/>
      <c r="I518" s="8"/>
    </row>
    <row r="519" spans="1:9" ht="15.75" customHeight="1">
      <c r="A519"/>
      <c r="C519" s="4"/>
      <c r="G519" s="8"/>
      <c r="H519" s="8"/>
      <c r="I519" s="8"/>
    </row>
    <row r="520" spans="3:9" ht="15.75" customHeight="1">
      <c r="C520" s="4"/>
      <c r="G520" s="8"/>
      <c r="H520" s="8"/>
      <c r="I520" s="8"/>
    </row>
    <row r="521" spans="3:9" ht="15.75" customHeight="1">
      <c r="C521" s="4"/>
      <c r="G521" s="8"/>
      <c r="H521" s="8"/>
      <c r="I521" s="8"/>
    </row>
    <row r="522" spans="3:9" ht="15.75" customHeight="1">
      <c r="C522" s="4"/>
      <c r="G522" s="8"/>
      <c r="H522" s="8"/>
      <c r="I522" s="8"/>
    </row>
    <row r="523" spans="3:9" ht="15.75" customHeight="1">
      <c r="C523" s="4"/>
      <c r="G523" s="8"/>
      <c r="H523" s="8"/>
      <c r="I523" s="8"/>
    </row>
    <row r="524" spans="3:9" ht="15.75" customHeight="1">
      <c r="C524" s="4"/>
      <c r="G524" s="8"/>
      <c r="H524" s="8"/>
      <c r="I524" s="8"/>
    </row>
    <row r="525" spans="3:9" ht="15.75" customHeight="1">
      <c r="C525" s="4"/>
      <c r="G525" s="8"/>
      <c r="H525" s="8"/>
      <c r="I525" s="8"/>
    </row>
    <row r="526" spans="3:9" ht="15.75" customHeight="1">
      <c r="C526" s="4"/>
      <c r="G526" s="8"/>
      <c r="H526" s="8"/>
      <c r="I526" s="8"/>
    </row>
    <row r="527" spans="3:9" ht="15.75" customHeight="1">
      <c r="C527" s="4"/>
      <c r="G527" s="8"/>
      <c r="H527" s="8"/>
      <c r="I527" s="8"/>
    </row>
    <row r="528" spans="3:9" ht="15.75" customHeight="1">
      <c r="C528" s="4"/>
      <c r="G528" s="8"/>
      <c r="H528" s="8"/>
      <c r="I528" s="8"/>
    </row>
    <row r="529" spans="3:9" ht="15.75" customHeight="1">
      <c r="C529" s="4"/>
      <c r="G529" s="8"/>
      <c r="H529" s="8"/>
      <c r="I529" s="8"/>
    </row>
    <row r="530" spans="3:9" ht="15.75" customHeight="1">
      <c r="C530" s="4"/>
      <c r="G530" s="8"/>
      <c r="H530" s="8"/>
      <c r="I530" s="8"/>
    </row>
    <row r="531" spans="3:9" ht="15.75" customHeight="1">
      <c r="C531" s="4"/>
      <c r="G531" s="8"/>
      <c r="H531" s="8"/>
      <c r="I531" s="8"/>
    </row>
    <row r="532" spans="3:9" ht="15.75" customHeight="1">
      <c r="C532" s="4"/>
      <c r="G532" s="8"/>
      <c r="H532" s="8"/>
      <c r="I532" s="8"/>
    </row>
    <row r="533" spans="3:9" ht="15.75" customHeight="1">
      <c r="C533" s="4"/>
      <c r="G533" s="8"/>
      <c r="H533" s="8"/>
      <c r="I533" s="8"/>
    </row>
    <row r="534" spans="3:9" ht="15.75" customHeight="1">
      <c r="C534" s="4"/>
      <c r="G534" s="8"/>
      <c r="H534" s="8"/>
      <c r="I534" s="8"/>
    </row>
    <row r="535" spans="3:9" ht="15.75" customHeight="1">
      <c r="C535" s="4"/>
      <c r="G535" s="8"/>
      <c r="H535" s="8"/>
      <c r="I535" s="8"/>
    </row>
    <row r="536" spans="3:9" ht="15.75" customHeight="1">
      <c r="C536" s="4"/>
      <c r="G536" s="8"/>
      <c r="H536" s="8"/>
      <c r="I536" s="8"/>
    </row>
    <row r="537" spans="3:9" ht="15.75" customHeight="1">
      <c r="C537" s="4"/>
      <c r="G537" s="8"/>
      <c r="H537" s="8"/>
      <c r="I537" s="8"/>
    </row>
    <row r="538" spans="3:9" ht="13.5">
      <c r="C538" s="4"/>
      <c r="G538" s="8"/>
      <c r="H538" s="8"/>
      <c r="I538" s="8"/>
    </row>
    <row r="539" spans="3:9" ht="13.5">
      <c r="C539" s="4"/>
      <c r="G539" s="8"/>
      <c r="H539" s="8"/>
      <c r="I539" s="8"/>
    </row>
    <row r="540" spans="3:9" ht="13.5">
      <c r="C540" s="4"/>
      <c r="G540" s="8"/>
      <c r="H540" s="8"/>
      <c r="I540" s="8"/>
    </row>
    <row r="541" spans="3:9" ht="13.5">
      <c r="C541" s="4"/>
      <c r="G541" s="8"/>
      <c r="H541" s="8"/>
      <c r="I541" s="8"/>
    </row>
    <row r="542" spans="3:9" ht="13.5">
      <c r="C542" s="4"/>
      <c r="G542" s="8"/>
      <c r="H542" s="8"/>
      <c r="I542" s="8"/>
    </row>
    <row r="543" spans="3:9" ht="13.5">
      <c r="C543" s="4"/>
      <c r="G543" s="8"/>
      <c r="H543" s="8"/>
      <c r="I543" s="8"/>
    </row>
    <row r="544" spans="3:9" ht="13.5">
      <c r="C544" s="4"/>
      <c r="G544" s="8"/>
      <c r="H544" s="8"/>
      <c r="I544" s="8"/>
    </row>
    <row r="545" spans="3:9" ht="13.5">
      <c r="C545" s="4"/>
      <c r="G545" s="8"/>
      <c r="H545" s="8"/>
      <c r="I545" s="8"/>
    </row>
    <row r="546" spans="3:9" ht="13.5">
      <c r="C546" s="4"/>
      <c r="G546" s="8"/>
      <c r="H546" s="8"/>
      <c r="I546" s="8"/>
    </row>
    <row r="547" spans="3:9" ht="13.5">
      <c r="C547" s="4"/>
      <c r="G547" s="8"/>
      <c r="H547" s="8"/>
      <c r="I547" s="8"/>
    </row>
    <row r="548" spans="3:9" ht="13.5">
      <c r="C548" s="4"/>
      <c r="G548" s="8"/>
      <c r="H548" s="8"/>
      <c r="I548" s="8"/>
    </row>
    <row r="549" spans="3:9" ht="13.5">
      <c r="C549" s="4"/>
      <c r="G549" s="8"/>
      <c r="H549" s="8"/>
      <c r="I549" s="8"/>
    </row>
    <row r="550" spans="3:9" ht="13.5">
      <c r="C550" s="4"/>
      <c r="G550" s="8"/>
      <c r="H550" s="8"/>
      <c r="I550" s="8"/>
    </row>
    <row r="551" spans="3:9" ht="13.5">
      <c r="C551" s="4"/>
      <c r="G551" s="8"/>
      <c r="H551" s="8"/>
      <c r="I551" s="8"/>
    </row>
    <row r="552" spans="3:9" ht="13.5">
      <c r="C552" s="4"/>
      <c r="G552" s="8"/>
      <c r="H552" s="8"/>
      <c r="I552" s="8"/>
    </row>
    <row r="553" spans="3:9" ht="13.5">
      <c r="C553" s="4"/>
      <c r="G553" s="8"/>
      <c r="H553" s="8"/>
      <c r="I553" s="8"/>
    </row>
    <row r="554" spans="3:9" ht="13.5">
      <c r="C554" s="4"/>
      <c r="G554" s="8"/>
      <c r="H554" s="8"/>
      <c r="I554" s="8"/>
    </row>
    <row r="555" spans="3:9" ht="13.5">
      <c r="C555" s="4"/>
      <c r="G555" s="8"/>
      <c r="H555" s="8"/>
      <c r="I555" s="8"/>
    </row>
    <row r="556" spans="3:9" ht="13.5">
      <c r="C556" s="4"/>
      <c r="G556" s="8"/>
      <c r="H556" s="8"/>
      <c r="I556" s="8"/>
    </row>
    <row r="557" spans="3:9" ht="13.5">
      <c r="C557" s="4"/>
      <c r="G557" s="8"/>
      <c r="H557" s="8"/>
      <c r="I557" s="8"/>
    </row>
    <row r="558" spans="3:9" ht="13.5">
      <c r="C558" s="4"/>
      <c r="G558" s="8"/>
      <c r="H558" s="8"/>
      <c r="I558" s="8"/>
    </row>
    <row r="559" spans="3:9" ht="13.5">
      <c r="C559" s="4"/>
      <c r="G559" s="8"/>
      <c r="H559" s="8"/>
      <c r="I559" s="8"/>
    </row>
    <row r="560" spans="3:9" ht="13.5">
      <c r="C560" s="4"/>
      <c r="G560" s="8"/>
      <c r="H560" s="8"/>
      <c r="I560" s="8"/>
    </row>
    <row r="561" spans="3:9" ht="13.5">
      <c r="C561" s="4"/>
      <c r="G561" s="8"/>
      <c r="H561" s="8"/>
      <c r="I561" s="8"/>
    </row>
    <row r="562" spans="3:9" ht="13.5">
      <c r="C562" s="4"/>
      <c r="G562" s="8"/>
      <c r="H562" s="8"/>
      <c r="I562" s="8"/>
    </row>
    <row r="563" spans="3:9" ht="13.5">
      <c r="C563" s="4"/>
      <c r="G563" s="8"/>
      <c r="H563" s="8"/>
      <c r="I563" s="8"/>
    </row>
    <row r="564" spans="3:9" ht="13.5">
      <c r="C564" s="4"/>
      <c r="G564" s="8"/>
      <c r="H564" s="8"/>
      <c r="I564" s="8"/>
    </row>
    <row r="565" spans="3:9" ht="13.5">
      <c r="C565" s="4"/>
      <c r="G565" s="8"/>
      <c r="H565" s="8"/>
      <c r="I565" s="8"/>
    </row>
    <row r="566" spans="3:9" ht="13.5">
      <c r="C566" s="4"/>
      <c r="G566" s="8"/>
      <c r="H566" s="8"/>
      <c r="I566" s="8"/>
    </row>
    <row r="567" spans="3:9" ht="13.5">
      <c r="C567" s="4"/>
      <c r="G567" s="8"/>
      <c r="H567" s="8"/>
      <c r="I567" s="8"/>
    </row>
    <row r="568" spans="3:9" ht="13.5">
      <c r="C568" s="4"/>
      <c r="G568" s="8"/>
      <c r="H568" s="8"/>
      <c r="I568" s="8"/>
    </row>
    <row r="569" spans="3:9" ht="13.5">
      <c r="C569" s="4"/>
      <c r="G569" s="8"/>
      <c r="H569" s="8"/>
      <c r="I569" s="8"/>
    </row>
    <row r="570" spans="3:9" ht="13.5">
      <c r="C570" s="4"/>
      <c r="G570" s="8"/>
      <c r="H570" s="8"/>
      <c r="I570" s="8"/>
    </row>
    <row r="571" spans="3:9" ht="13.5">
      <c r="C571" s="4"/>
      <c r="G571" s="8"/>
      <c r="H571" s="8"/>
      <c r="I571" s="8"/>
    </row>
    <row r="572" spans="3:9" ht="13.5">
      <c r="C572" s="4"/>
      <c r="G572" s="8"/>
      <c r="H572" s="8"/>
      <c r="I572" s="8"/>
    </row>
    <row r="573" spans="3:9" ht="13.5">
      <c r="C573" s="4"/>
      <c r="G573" s="8"/>
      <c r="H573" s="8"/>
      <c r="I573" s="8"/>
    </row>
    <row r="574" spans="3:9" ht="13.5">
      <c r="C574" s="4"/>
      <c r="G574" s="8"/>
      <c r="H574" s="8"/>
      <c r="I574" s="8"/>
    </row>
    <row r="575" spans="3:9" ht="13.5">
      <c r="C575" s="4"/>
      <c r="G575" s="8"/>
      <c r="H575" s="8"/>
      <c r="I575" s="8"/>
    </row>
    <row r="576" spans="3:9" ht="13.5">
      <c r="C576" s="4"/>
      <c r="G576" s="8"/>
      <c r="H576" s="8"/>
      <c r="I576" s="8"/>
    </row>
    <row r="577" spans="3:9" ht="13.5">
      <c r="C577" s="4"/>
      <c r="G577" s="8"/>
      <c r="H577" s="8"/>
      <c r="I577" s="8"/>
    </row>
    <row r="578" spans="3:9" ht="13.5">
      <c r="C578" s="4"/>
      <c r="G578" s="8"/>
      <c r="H578" s="8"/>
      <c r="I578" s="8"/>
    </row>
    <row r="579" spans="3:9" ht="13.5">
      <c r="C579" s="4"/>
      <c r="G579" s="8"/>
      <c r="H579" s="8"/>
      <c r="I579" s="8"/>
    </row>
    <row r="580" spans="3:9" ht="13.5">
      <c r="C580" s="4"/>
      <c r="G580" s="8"/>
      <c r="H580" s="8"/>
      <c r="I580" s="8"/>
    </row>
    <row r="581" spans="3:9" ht="13.5">
      <c r="C581" s="4"/>
      <c r="G581" s="8"/>
      <c r="H581" s="8"/>
      <c r="I581" s="8"/>
    </row>
    <row r="582" spans="3:9" ht="13.5">
      <c r="C582" s="4"/>
      <c r="G582" s="8"/>
      <c r="H582" s="8"/>
      <c r="I582" s="8"/>
    </row>
    <row r="583" spans="3:9" ht="13.5">
      <c r="C583" s="4"/>
      <c r="G583" s="8"/>
      <c r="H583" s="8"/>
      <c r="I583" s="8"/>
    </row>
    <row r="584" spans="7:9" ht="13.5">
      <c r="G584" s="8"/>
      <c r="H584" s="8"/>
      <c r="I584" s="8"/>
    </row>
    <row r="585" spans="7:9" ht="13.5">
      <c r="G585" s="8"/>
      <c r="H585" s="8"/>
      <c r="I585" s="8"/>
    </row>
    <row r="586" spans="7:9" ht="13.5">
      <c r="G586" s="8"/>
      <c r="H586" s="8"/>
      <c r="I586" s="8"/>
    </row>
    <row r="587" spans="7:9" ht="13.5">
      <c r="G587" s="8"/>
      <c r="H587" s="8"/>
      <c r="I587" s="8"/>
    </row>
    <row r="588" spans="7:9" ht="13.5">
      <c r="G588" s="8"/>
      <c r="H588" s="8"/>
      <c r="I588" s="8"/>
    </row>
    <row r="589" spans="7:9" ht="13.5">
      <c r="G589" s="8"/>
      <c r="H589" s="8"/>
      <c r="I589" s="8"/>
    </row>
    <row r="590" spans="7:9" ht="13.5">
      <c r="G590" s="8"/>
      <c r="H590" s="8"/>
      <c r="I590" s="8"/>
    </row>
    <row r="591" spans="7:9" ht="13.5">
      <c r="G591" s="8"/>
      <c r="H591" s="8"/>
      <c r="I591" s="8"/>
    </row>
    <row r="592" spans="7:9" ht="13.5">
      <c r="G592" s="8"/>
      <c r="H592" s="8"/>
      <c r="I592" s="8"/>
    </row>
    <row r="593" spans="7:9" ht="13.5">
      <c r="G593" s="8"/>
      <c r="H593" s="8"/>
      <c r="I593" s="8"/>
    </row>
    <row r="594" spans="7:9" ht="13.5">
      <c r="G594" s="8"/>
      <c r="H594" s="8"/>
      <c r="I594" s="8"/>
    </row>
    <row r="595" spans="7:9" ht="13.5">
      <c r="G595" s="8"/>
      <c r="H595" s="8"/>
      <c r="I595" s="8"/>
    </row>
    <row r="596" spans="7:9" ht="13.5">
      <c r="G596" s="8"/>
      <c r="H596" s="8"/>
      <c r="I596" s="8"/>
    </row>
    <row r="597" spans="7:9" ht="13.5">
      <c r="G597" s="8"/>
      <c r="H597" s="8"/>
      <c r="I597" s="8"/>
    </row>
    <row r="598" spans="7:9" ht="13.5">
      <c r="G598" s="8"/>
      <c r="H598" s="8"/>
      <c r="I598" s="8"/>
    </row>
    <row r="599" spans="7:9" ht="13.5">
      <c r="G599" s="8"/>
      <c r="H599" s="8"/>
      <c r="I599" s="8"/>
    </row>
    <row r="600" spans="7:9" ht="13.5">
      <c r="G600" s="8"/>
      <c r="H600" s="8"/>
      <c r="I600" s="8"/>
    </row>
    <row r="601" spans="7:9" ht="13.5">
      <c r="G601" s="8"/>
      <c r="H601" s="8"/>
      <c r="I601" s="8"/>
    </row>
    <row r="602" spans="7:9" ht="13.5">
      <c r="G602" s="8"/>
      <c r="H602" s="8"/>
      <c r="I602" s="8"/>
    </row>
    <row r="603" spans="7:9" ht="13.5">
      <c r="G603" s="8"/>
      <c r="H603" s="8"/>
      <c r="I603" s="8"/>
    </row>
    <row r="604" spans="7:9" ht="13.5">
      <c r="G604" s="8"/>
      <c r="H604" s="8"/>
      <c r="I604" s="8"/>
    </row>
    <row r="605" spans="7:9" ht="13.5">
      <c r="G605" s="8"/>
      <c r="H605" s="8"/>
      <c r="I605" s="8"/>
    </row>
    <row r="606" spans="7:9" ht="13.5">
      <c r="G606" s="8"/>
      <c r="H606" s="8"/>
      <c r="I606" s="8"/>
    </row>
    <row r="607" spans="7:9" ht="13.5">
      <c r="G607" s="8"/>
      <c r="H607" s="8"/>
      <c r="I607" s="8"/>
    </row>
    <row r="608" spans="7:9" ht="13.5">
      <c r="G608" s="8"/>
      <c r="H608" s="8"/>
      <c r="I608" s="8"/>
    </row>
    <row r="609" spans="7:9" ht="13.5">
      <c r="G609" s="8"/>
      <c r="H609" s="8"/>
      <c r="I609" s="8"/>
    </row>
    <row r="610" spans="7:9" ht="13.5">
      <c r="G610" s="8"/>
      <c r="H610" s="8"/>
      <c r="I610" s="8"/>
    </row>
    <row r="611" spans="7:9" ht="13.5">
      <c r="G611" s="8"/>
      <c r="H611" s="8"/>
      <c r="I611" s="8"/>
    </row>
    <row r="612" spans="7:9" ht="13.5">
      <c r="G612" s="8"/>
      <c r="H612" s="8"/>
      <c r="I612" s="8"/>
    </row>
    <row r="613" spans="7:9" ht="13.5">
      <c r="G613" s="8"/>
      <c r="H613" s="8"/>
      <c r="I613" s="8"/>
    </row>
    <row r="614" spans="7:9" ht="13.5">
      <c r="G614" s="8"/>
      <c r="H614" s="8"/>
      <c r="I614" s="8"/>
    </row>
    <row r="615" spans="7:9" ht="13.5">
      <c r="G615" s="8"/>
      <c r="H615" s="8"/>
      <c r="I615" s="8"/>
    </row>
    <row r="616" spans="7:9" ht="13.5">
      <c r="G616" s="8"/>
      <c r="H616" s="8"/>
      <c r="I616" s="8"/>
    </row>
    <row r="617" spans="7:9" ht="13.5">
      <c r="G617" s="8"/>
      <c r="H617" s="8"/>
      <c r="I617" s="8"/>
    </row>
    <row r="618" spans="7:9" ht="13.5">
      <c r="G618" s="8"/>
      <c r="H618" s="8"/>
      <c r="I618" s="8"/>
    </row>
    <row r="619" spans="7:9" ht="13.5">
      <c r="G619" s="8"/>
      <c r="H619" s="8"/>
      <c r="I619" s="8"/>
    </row>
    <row r="620" spans="7:9" ht="13.5">
      <c r="G620" s="8"/>
      <c r="H620" s="8"/>
      <c r="I620" s="8"/>
    </row>
  </sheetData>
  <sheetProtection/>
  <mergeCells count="8">
    <mergeCell ref="C9:I9"/>
    <mergeCell ref="H5:J5"/>
    <mergeCell ref="H1:J1"/>
    <mergeCell ref="F2:J2"/>
    <mergeCell ref="F3:J3"/>
    <mergeCell ref="G4:J4"/>
    <mergeCell ref="E7:H7"/>
    <mergeCell ref="B8:J8"/>
  </mergeCells>
  <printOptions/>
  <pageMargins left="0.39375" right="0.39375" top="0.39375" bottom="0.19652777777777777" header="0.5118055555555556" footer="0.511805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Куликова</cp:lastModifiedBy>
  <cp:lastPrinted>2010-11-12T07:33:53Z</cp:lastPrinted>
  <dcterms:created xsi:type="dcterms:W3CDTF">2008-06-09T06:11:12Z</dcterms:created>
  <dcterms:modified xsi:type="dcterms:W3CDTF">2013-06-20T05:40:20Z</dcterms:modified>
  <cp:category/>
  <cp:version/>
  <cp:contentType/>
  <cp:contentStatus/>
</cp:coreProperties>
</file>